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3c79a9c1066cac8/Desktop/"/>
    </mc:Choice>
  </mc:AlternateContent>
  <xr:revisionPtr revIDLastSave="3" documentId="8_{932CEE7A-E2C1-49B7-9DA0-AA022CA085C6}" xr6:coauthVersionLast="47" xr6:coauthVersionMax="47" xr10:uidLastSave="{832DC231-0E3F-464E-B3E7-37E1ED8EAFC5}"/>
  <bookViews>
    <workbookView xWindow="-108" yWindow="-108" windowWidth="23256" windowHeight="13896" activeTab="1" xr2:uid="{00000000-000D-0000-FFFF-FFFF00000000}"/>
  </bookViews>
  <sheets>
    <sheet name="TVM" sheetId="1" r:id="rId1"/>
    <sheet name="NPV_DCF" sheetId="2" r:id="rId2"/>
    <sheet name="IRR" sheetId="3" r:id="rId3"/>
    <sheet name="ROI" sheetId="4" r:id="rId4"/>
    <sheet name="Payback" sheetId="5" r:id="rId5"/>
    <sheet name="Breakeven" sheetId="6" r:id="rId6"/>
    <sheet name="WeightedScore" sheetId="7" r:id="rId7"/>
    <sheet name="PortfolioOp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8" l="1"/>
  <c r="N19" i="8"/>
  <c r="P19" i="8" s="1"/>
  <c r="M19" i="8"/>
  <c r="N18" i="8"/>
  <c r="P18" i="8" s="1"/>
  <c r="M18" i="8"/>
  <c r="N17" i="8"/>
  <c r="P17" i="8" s="1"/>
  <c r="M17" i="8"/>
  <c r="N16" i="8"/>
  <c r="P16" i="8" s="1"/>
  <c r="N15" i="8"/>
  <c r="P15" i="8" s="1"/>
  <c r="P14" i="8"/>
  <c r="N14" i="8"/>
  <c r="N13" i="8"/>
  <c r="P13" i="8" s="1"/>
  <c r="N12" i="8"/>
  <c r="P12" i="8" s="1"/>
  <c r="P11" i="8"/>
  <c r="N11" i="8"/>
  <c r="G14" i="7"/>
  <c r="D14" i="7"/>
  <c r="G13" i="7"/>
  <c r="F13" i="7"/>
  <c r="F14" i="7" s="1"/>
  <c r="E13" i="7"/>
  <c r="E14" i="7" s="1"/>
  <c r="D13" i="7"/>
  <c r="C16" i="7" s="1"/>
  <c r="F7" i="6"/>
  <c r="D17" i="5"/>
  <c r="E15" i="5"/>
  <c r="F15" i="5" s="1"/>
  <c r="D15" i="5"/>
  <c r="C15" i="5"/>
  <c r="C17" i="5" s="1"/>
  <c r="M14" i="5"/>
  <c r="J14" i="5"/>
  <c r="H14" i="5"/>
  <c r="G14" i="5"/>
  <c r="D14" i="5"/>
  <c r="M13" i="5"/>
  <c r="L13" i="5"/>
  <c r="L14" i="5" s="1"/>
  <c r="K13" i="5"/>
  <c r="K14" i="5" s="1"/>
  <c r="J13" i="5"/>
  <c r="I13" i="5"/>
  <c r="I14" i="5" s="1"/>
  <c r="H13" i="5"/>
  <c r="G13" i="5"/>
  <c r="F13" i="5"/>
  <c r="F14" i="5" s="1"/>
  <c r="E13" i="5"/>
  <c r="E14" i="5" s="1"/>
  <c r="D13" i="5"/>
  <c r="C13" i="5"/>
  <c r="C14" i="5" s="1"/>
  <c r="C16" i="5" s="1"/>
  <c r="F11" i="4"/>
  <c r="F10" i="4"/>
  <c r="F9" i="4"/>
  <c r="F8" i="4"/>
  <c r="F7" i="4"/>
  <c r="M14" i="3"/>
  <c r="K14" i="3"/>
  <c r="J14" i="3"/>
  <c r="H14" i="3"/>
  <c r="G14" i="3"/>
  <c r="E14" i="3"/>
  <c r="D14" i="3"/>
  <c r="M13" i="3"/>
  <c r="L13" i="3"/>
  <c r="L14" i="3" s="1"/>
  <c r="K13" i="3"/>
  <c r="J13" i="3"/>
  <c r="I13" i="3"/>
  <c r="I14" i="3" s="1"/>
  <c r="H13" i="3"/>
  <c r="G13" i="3"/>
  <c r="F13" i="3"/>
  <c r="F14" i="3" s="1"/>
  <c r="E13" i="3"/>
  <c r="D13" i="3"/>
  <c r="C13" i="3"/>
  <c r="C14" i="3" s="1"/>
  <c r="P11" i="3"/>
  <c r="P10" i="3"/>
  <c r="P8" i="3"/>
  <c r="P7" i="3"/>
  <c r="P9" i="3" s="1"/>
  <c r="P12" i="3" s="1"/>
  <c r="C18" i="2"/>
  <c r="D18" i="2" s="1"/>
  <c r="M16" i="2"/>
  <c r="J16" i="2"/>
  <c r="G16" i="2"/>
  <c r="D16" i="2"/>
  <c r="M15" i="2"/>
  <c r="L15" i="2"/>
  <c r="K15" i="2"/>
  <c r="J15" i="2"/>
  <c r="I15" i="2"/>
  <c r="H15" i="2"/>
  <c r="G15" i="2"/>
  <c r="F15" i="2"/>
  <c r="F16" i="2" s="1"/>
  <c r="E15" i="2"/>
  <c r="D15" i="2"/>
  <c r="C15" i="2"/>
  <c r="M14" i="2"/>
  <c r="L14" i="2"/>
  <c r="L16" i="2" s="1"/>
  <c r="K14" i="2"/>
  <c r="K16" i="2" s="1"/>
  <c r="J14" i="2"/>
  <c r="I14" i="2"/>
  <c r="I16" i="2" s="1"/>
  <c r="H14" i="2"/>
  <c r="H16" i="2" s="1"/>
  <c r="G14" i="2"/>
  <c r="F14" i="2"/>
  <c r="E14" i="2"/>
  <c r="E16" i="2" s="1"/>
  <c r="D14" i="2"/>
  <c r="C14" i="2"/>
  <c r="C16" i="2" s="1"/>
  <c r="B13" i="1"/>
  <c r="F8" i="1" s="1"/>
  <c r="B12" i="1"/>
  <c r="F11" i="1"/>
  <c r="F7" i="1"/>
  <c r="F9" i="1" s="1"/>
  <c r="G15" i="5" l="1"/>
  <c r="F17" i="5"/>
  <c r="C17" i="2"/>
  <c r="P7" i="2"/>
  <c r="P12" i="2" s="1"/>
  <c r="D16" i="5"/>
  <c r="C18" i="5"/>
  <c r="E18" i="2"/>
  <c r="D20" i="2"/>
  <c r="M22" i="8"/>
  <c r="F8" i="6"/>
  <c r="F9" i="6" s="1"/>
  <c r="F10" i="1"/>
  <c r="F10" i="6"/>
  <c r="C20" i="2"/>
  <c r="E17" i="5"/>
  <c r="P8" i="2"/>
  <c r="F18" i="2" l="1"/>
  <c r="E20" i="2"/>
  <c r="E16" i="5"/>
  <c r="D18" i="5"/>
  <c r="D17" i="2"/>
  <c r="C19" i="2"/>
  <c r="F11" i="6"/>
  <c r="H15" i="5"/>
  <c r="G17" i="5"/>
  <c r="F16" i="5" l="1"/>
  <c r="E18" i="5"/>
  <c r="G18" i="2"/>
  <c r="F20" i="2"/>
  <c r="I15" i="5"/>
  <c r="H17" i="5"/>
  <c r="E17" i="2"/>
  <c r="D19" i="2"/>
  <c r="F17" i="2" l="1"/>
  <c r="E19" i="2"/>
  <c r="J15" i="5"/>
  <c r="I17" i="5"/>
  <c r="G16" i="5"/>
  <c r="F18" i="5"/>
  <c r="H18" i="2"/>
  <c r="G20" i="2"/>
  <c r="H20" i="2" l="1"/>
  <c r="I18" i="2"/>
  <c r="H16" i="5"/>
  <c r="G18" i="5"/>
  <c r="J17" i="5"/>
  <c r="K15" i="5"/>
  <c r="G17" i="2"/>
  <c r="F19" i="2"/>
  <c r="G19" i="2" l="1"/>
  <c r="H17" i="2"/>
  <c r="I16" i="5"/>
  <c r="H18" i="5"/>
  <c r="P11" i="5"/>
  <c r="I20" i="2"/>
  <c r="J18" i="2"/>
  <c r="K17" i="5"/>
  <c r="L15" i="5"/>
  <c r="L17" i="5" l="1"/>
  <c r="M15" i="5"/>
  <c r="M17" i="5" s="1"/>
  <c r="P7" i="5" s="1"/>
  <c r="P9" i="5" s="1"/>
  <c r="J16" i="5"/>
  <c r="I18" i="5"/>
  <c r="J20" i="2"/>
  <c r="K18" i="2"/>
  <c r="H19" i="2"/>
  <c r="I17" i="2"/>
  <c r="I19" i="2" l="1"/>
  <c r="J17" i="2"/>
  <c r="L18" i="2"/>
  <c r="K20" i="2"/>
  <c r="K16" i="5"/>
  <c r="J18" i="5"/>
  <c r="K18" i="5" l="1"/>
  <c r="L16" i="5"/>
  <c r="M18" i="2"/>
  <c r="M20" i="2" s="1"/>
  <c r="P10" i="2" s="1"/>
  <c r="L20" i="2"/>
  <c r="K17" i="2"/>
  <c r="J19" i="2"/>
  <c r="L17" i="2" l="1"/>
  <c r="K19" i="2"/>
  <c r="L18" i="5"/>
  <c r="M16" i="5"/>
  <c r="M18" i="5" s="1"/>
  <c r="P8" i="5" s="1"/>
  <c r="P10" i="5" s="1"/>
  <c r="P12" i="5" s="1"/>
  <c r="M17" i="2" l="1"/>
  <c r="L19" i="2"/>
  <c r="M19" i="2" l="1"/>
  <c r="P9" i="2" s="1"/>
  <c r="P11" i="2"/>
</calcChain>
</file>

<file path=xl/sharedStrings.xml><?xml version="1.0" encoding="utf-8"?>
<sst xmlns="http://schemas.openxmlformats.org/spreadsheetml/2006/main" count="234" uniqueCount="149">
  <si>
    <t>Time Value of Money Calculator</t>
  </si>
  <si>
    <t>Future Value, Present Value, compounding, and effective annual rate — edit the blue cells.</t>
  </si>
  <si>
    <t>TVM</t>
  </si>
  <si>
    <t>NPV_DCF</t>
  </si>
  <si>
    <t>IRR</t>
  </si>
  <si>
    <t>ROI</t>
  </si>
  <si>
    <t>Payback</t>
  </si>
  <si>
    <t>Breakeven</t>
  </si>
  <si>
    <t>WeightedScore</t>
  </si>
  <si>
    <t>PortfolioOpt</t>
  </si>
  <si>
    <t>Inputs</t>
  </si>
  <si>
    <t>Results</t>
  </si>
  <si>
    <t>Annual nominal rate</t>
  </si>
  <si>
    <t>Future value of present amount</t>
  </si>
  <si>
    <t>Years</t>
  </si>
  <si>
    <t>Present value needed for target FV</t>
  </si>
  <si>
    <t>Compounds / year</t>
  </si>
  <si>
    <t>Growth multiple</t>
  </si>
  <si>
    <t>Present amount (PV)</t>
  </si>
  <si>
    <t>Interest earned</t>
  </si>
  <si>
    <t>Target future amount (FV)</t>
  </si>
  <si>
    <t>Effective annual rate</t>
  </si>
  <si>
    <t>Periodic rate</t>
  </si>
  <si>
    <t>Total periods</t>
  </si>
  <si>
    <t>Excel formulas used</t>
  </si>
  <si>
    <t>'=FV(rate/compounds, years*compounds, 0, -PV)</t>
  </si>
  <si>
    <t>'=-PV(rate/compounds, years*compounds, 0, FV)</t>
  </si>
  <si>
    <t>Discounted Cash Flow &amp; NPV Calculator</t>
  </si>
  <si>
    <t>Build revenue, cost, and terminal value by year to compute NPV and recovery timing.</t>
  </si>
  <si>
    <t>Core assumptions</t>
  </si>
  <si>
    <t>Outputs</t>
  </si>
  <si>
    <t>Discount rate</t>
  </si>
  <si>
    <t>NPV</t>
  </si>
  <si>
    <t>Initial investment</t>
  </si>
  <si>
    <t>Total net cash flow</t>
  </si>
  <si>
    <t>Discounted payback year</t>
  </si>
  <si>
    <t>Simple payback year</t>
  </si>
  <si>
    <t>Revenue</t>
  </si>
  <si>
    <t>Max discounted deficit</t>
  </si>
  <si>
    <t>Operating cost</t>
  </si>
  <si>
    <t>Decision</t>
  </si>
  <si>
    <t>Terminal / exit value</t>
  </si>
  <si>
    <t>Net cash flow</t>
  </si>
  <si>
    <t>Discount factor</t>
  </si>
  <si>
    <t>Discounted cash flow</t>
  </si>
  <si>
    <t>Cumulative discounted CF</t>
  </si>
  <si>
    <t>Cumulative undiscounted CF</t>
  </si>
  <si>
    <t>Discounted recovered?</t>
  </si>
  <si>
    <t>Simple recovered?</t>
  </si>
  <si>
    <t>IRR Calculator</t>
  </si>
  <si>
    <t>Enter a full investment cash-flow timeline including the initial outflow in Year 0.</t>
  </si>
  <si>
    <t>Assumptions</t>
  </si>
  <si>
    <t>Hurdle / discount rate</t>
  </si>
  <si>
    <t>NPV at hurdle</t>
  </si>
  <si>
    <t>IRR spread</t>
  </si>
  <si>
    <t>Total net gain</t>
  </si>
  <si>
    <t>Cash flow</t>
  </si>
  <si>
    <t>MOIC</t>
  </si>
  <si>
    <t>ROI Calculator</t>
  </si>
  <si>
    <t>Measure simple and annualized return on an investment or trade.</t>
  </si>
  <si>
    <t>Initial investment / cost basis</t>
  </si>
  <si>
    <t>Net gain</t>
  </si>
  <si>
    <t>Ending value / sale proceeds</t>
  </si>
  <si>
    <t>Simple ROI</t>
  </si>
  <si>
    <t>Additional income received</t>
  </si>
  <si>
    <t>Annualized ROI</t>
  </si>
  <si>
    <t>Additional costs / fees</t>
  </si>
  <si>
    <t>Exit profit margin</t>
  </si>
  <si>
    <t>Holding period (years)</t>
  </si>
  <si>
    <t>Payback Period Calculator</t>
  </si>
  <si>
    <t>Compare simple payback and discounted payback using yearly cash flows.</t>
  </si>
  <si>
    <t>Assumption</t>
  </si>
  <si>
    <t>Simple payback status</t>
  </si>
  <si>
    <t>Discounted payback status</t>
  </si>
  <si>
    <t>Year-5 discounted CF</t>
  </si>
  <si>
    <t>Decision snapshot</t>
  </si>
  <si>
    <t>Cumulative simple CF</t>
  </si>
  <si>
    <t>Breakeven Calculator</t>
  </si>
  <si>
    <t>Estimate the unit volume and revenue required to recover fixed costs.</t>
  </si>
  <si>
    <t>Fixed costs per period</t>
  </si>
  <si>
    <t>Contribution margin / unit</t>
  </si>
  <si>
    <t>Selling price per unit</t>
  </si>
  <si>
    <t>Breakeven units</t>
  </si>
  <si>
    <t>Variable cost per unit</t>
  </si>
  <si>
    <t>Breakeven revenue</t>
  </si>
  <si>
    <t>Target profit</t>
  </si>
  <si>
    <t>Units for target profit</t>
  </si>
  <si>
    <t>Planned sales volume (units)</t>
  </si>
  <si>
    <t>Margin of safety (units)</t>
  </si>
  <si>
    <t>Weighted Scoring Model</t>
  </si>
  <si>
    <t>Blend financial and non-financial criteria using adjustable weights and project scores.</t>
  </si>
  <si>
    <t>Criteria, weights, and scores</t>
  </si>
  <si>
    <t>Criterion</t>
  </si>
  <si>
    <t>Weight</t>
  </si>
  <si>
    <t>Project 1</t>
  </si>
  <si>
    <t>Project 2</t>
  </si>
  <si>
    <t>Project 3</t>
  </si>
  <si>
    <t>Project 4</t>
  </si>
  <si>
    <t>ESG</t>
  </si>
  <si>
    <t>DEI</t>
  </si>
  <si>
    <t>Payback Period</t>
  </si>
  <si>
    <t>Composite score</t>
  </si>
  <si>
    <t>Rank</t>
  </si>
  <si>
    <t>Winner</t>
  </si>
  <si>
    <t>Tip: use 1–10 scores and any weight scale you want — only relative scores matter.</t>
  </si>
  <si>
    <t>Portfolio Selection (Solver-Ready)</t>
  </si>
  <si>
    <t>Binary project selection model with resource, capital, and regional constraints.</t>
  </si>
  <si>
    <t>Controls</t>
  </si>
  <si>
    <t>Constraint checks</t>
  </si>
  <si>
    <t>Minimum projects per region</t>
  </si>
  <si>
    <t>Example objective</t>
  </si>
  <si>
    <t>Max total profit</t>
  </si>
  <si>
    <t>Project</t>
  </si>
  <si>
    <t>Region</t>
  </si>
  <si>
    <t>IT</t>
  </si>
  <si>
    <t>R&amp;D</t>
  </si>
  <si>
    <t>Marketing</t>
  </si>
  <si>
    <t>Legal</t>
  </si>
  <si>
    <t>Procurement</t>
  </si>
  <si>
    <t>Capital ($m)</t>
  </si>
  <si>
    <t>Profit ($m)</t>
  </si>
  <si>
    <t>Select 0/1</t>
  </si>
  <si>
    <t>Constraint</t>
  </si>
  <si>
    <t>Limit</t>
  </si>
  <si>
    <t>Actual</t>
  </si>
  <si>
    <t>Test</t>
  </si>
  <si>
    <t>Status</t>
  </si>
  <si>
    <t>1-A</t>
  </si>
  <si>
    <t>IT usage</t>
  </si>
  <si>
    <t>&lt;=</t>
  </si>
  <si>
    <t>1-B</t>
  </si>
  <si>
    <t>R&amp;D usage</t>
  </si>
  <si>
    <t>1-C</t>
  </si>
  <si>
    <t>Marketing usage</t>
  </si>
  <si>
    <t>2-A</t>
  </si>
  <si>
    <t>Legal usage</t>
  </si>
  <si>
    <t>2-B</t>
  </si>
  <si>
    <t>Procurement usage</t>
  </si>
  <si>
    <t>2-C</t>
  </si>
  <si>
    <t>Capital usage ($m)</t>
  </si>
  <si>
    <t>3-A</t>
  </si>
  <si>
    <t>Region 1 selected</t>
  </si>
  <si>
    <t>&gt;=</t>
  </si>
  <si>
    <t>3-B</t>
  </si>
  <si>
    <t>Region 2 selected</t>
  </si>
  <si>
    <t>Region 3 selected</t>
  </si>
  <si>
    <t>Total profit ($m)</t>
  </si>
  <si>
    <t>Overall feasibility</t>
  </si>
  <si>
    <t>Solver tip: maximize M21 by changing J11:J18, subject to N11:N16&lt;=M11:M16, N17:N19&gt;=M17:M19, and J11:J18 binary.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</si>
</sst>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[Red]\(0.0%\);\-"/>
    <numFmt numFmtId="165" formatCode="\$#,##0.00;[Red]\(\$#,##0.00\);\-"/>
    <numFmt numFmtId="166" formatCode="#,##0;[Red]\(#,##0\);\-"/>
    <numFmt numFmtId="167" formatCode="0.0\x;[Red]\(0.0\x\);\-"/>
    <numFmt numFmtId="168" formatCode="#,##0.00;[Red]\(#,##0.00\);\-"/>
    <numFmt numFmtId="169" formatCode="\$#,##0.0&quot;m&quot;;[Red]\(\$#,##0.0&quot;m&quot;\);\-"/>
  </numFmts>
  <fonts count="1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10"/>
      <color rgb="FF6B7280"/>
      <name val="Calibri"/>
    </font>
    <font>
      <b/>
      <u/>
      <sz val="9"/>
      <color rgb="FF0F766E"/>
      <name val="Calibri"/>
    </font>
    <font>
      <u/>
      <sz val="9"/>
      <color rgb="FF0F766E"/>
      <name val="Calibri"/>
    </font>
    <font>
      <b/>
      <sz val="11"/>
      <color rgb="FFFFFFFF"/>
      <name val="Calibri"/>
    </font>
    <font>
      <sz val="10"/>
      <color rgb="FF374151"/>
      <name val="Calibri"/>
    </font>
    <font>
      <b/>
      <sz val="10"/>
      <color rgb="FF0000FF"/>
      <name val="Calibri"/>
    </font>
    <font>
      <sz val="10"/>
      <color rgb="FF6B46C1"/>
      <name val="Calibri"/>
    </font>
    <font>
      <b/>
      <sz val="10"/>
      <color rgb="FF0E2A47"/>
      <name val="Calibri"/>
    </font>
    <font>
      <b/>
      <sz val="11"/>
      <color rgb="FF000000"/>
      <name val="Calibri"/>
    </font>
    <font>
      <sz val="10"/>
      <color rgb="FF6B7280"/>
      <name val="Calibri"/>
    </font>
    <font>
      <b/>
      <sz val="10"/>
      <color rgb="FF374151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FFFFFF"/>
      <name val="Calibri"/>
    </font>
    <font>
      <b/>
      <sz val="10"/>
      <color rgb="FF6B46C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E2A47"/>
      </patternFill>
    </fill>
    <fill>
      <patternFill patternType="solid">
        <fgColor rgb="FFF3F4F6"/>
      </patternFill>
    </fill>
    <fill>
      <patternFill patternType="solid">
        <fgColor rgb="FFE6FFFB"/>
      </patternFill>
    </fill>
    <fill>
      <patternFill patternType="solid">
        <fgColor rgb="FF0F766E"/>
      </patternFill>
    </fill>
    <fill>
      <patternFill patternType="solid">
        <fgColor rgb="FFFFF7CC"/>
      </patternFill>
    </fill>
    <fill>
      <patternFill patternType="solid">
        <fgColor rgb="FFDCEB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>
      <left/>
      <right/>
      <top/>
      <bottom style="medium">
        <color rgb="FF0E2A47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left" vertical="center"/>
    </xf>
    <xf numFmtId="167" fontId="10" fillId="7" borderId="1" xfId="0" applyNumberFormat="1" applyFont="1" applyFill="1" applyBorder="1" applyAlignment="1">
      <alignment horizontal="right" vertical="center"/>
    </xf>
    <xf numFmtId="164" fontId="10" fillId="7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10" fillId="7" borderId="1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8" fontId="8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8" fontId="7" fillId="6" borderId="1" xfId="0" applyNumberFormat="1" applyFont="1" applyFill="1" applyBorder="1" applyAlignment="1">
      <alignment horizontal="right" vertical="center"/>
    </xf>
    <xf numFmtId="168" fontId="10" fillId="7" borderId="1" xfId="0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/>
    <xf numFmtId="169" fontId="14" fillId="8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169" fontId="8" fillId="3" borderId="1" xfId="0" applyNumberFormat="1" applyFont="1" applyFill="1" applyBorder="1" applyAlignment="1">
      <alignment horizontal="right" vertical="center"/>
    </xf>
    <xf numFmtId="169" fontId="10" fillId="7" borderId="1" xfId="0" applyNumberFormat="1" applyFont="1" applyFill="1" applyBorder="1" applyAlignment="1">
      <alignment horizontal="right" vertical="center"/>
    </xf>
    <xf numFmtId="165" fontId="10" fillId="7" borderId="1" xfId="0" applyNumberFormat="1" applyFont="1" applyFill="1" applyBorder="1" applyAlignment="1">
      <alignment horizontal="right" vertical="center"/>
    </xf>
    <xf numFmtId="166" fontId="7" fillId="6" borderId="1" xfId="0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5" fontId="13" fillId="8" borderId="1" xfId="0" applyNumberFormat="1" applyFont="1" applyFill="1" applyBorder="1" applyAlignment="1">
      <alignment horizontal="right" vertical="center"/>
    </xf>
    <xf numFmtId="165" fontId="14" fillId="8" borderId="1" xfId="0" applyNumberFormat="1" applyFont="1" applyFill="1" applyBorder="1" applyAlignment="1">
      <alignment horizontal="right" vertical="center"/>
    </xf>
    <xf numFmtId="165" fontId="13" fillId="3" borderId="1" xfId="0" applyNumberFormat="1" applyFont="1" applyFill="1" applyBorder="1" applyAlignment="1">
      <alignment horizontal="right" vertical="center"/>
    </xf>
    <xf numFmtId="166" fontId="10" fillId="7" borderId="1" xfId="0" applyNumberFormat="1" applyFont="1" applyFill="1" applyBorder="1" applyAlignment="1">
      <alignment horizontal="right" vertical="center"/>
    </xf>
    <xf numFmtId="166" fontId="13" fillId="3" borderId="1" xfId="0" applyNumberFormat="1" applyFont="1" applyFill="1" applyBorder="1" applyAlignment="1">
      <alignment horizontal="right" vertical="center"/>
    </xf>
    <xf numFmtId="166" fontId="14" fillId="8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1" fillId="3" borderId="0" xfId="0" applyFont="1" applyFill="1" applyAlignment="1">
      <alignment wrapText="1"/>
    </xf>
  </cellXfs>
  <cellStyles count="1">
    <cellStyle name="Normal" xfId="0" builtinId="0"/>
  </cellStyles>
  <dxfs count="4">
    <dxf>
      <fill>
        <patternFill>
          <bgColor rgb="FFEAF6EA"/>
        </patternFill>
      </fill>
    </dxf>
    <dxf>
      <fill>
        <patternFill>
          <bgColor rgb="FFFDE2E2"/>
        </patternFill>
      </fill>
    </dxf>
    <dxf>
      <fill>
        <patternFill>
          <bgColor rgb="FFEAF6EA"/>
        </patternFill>
      </fill>
    </dxf>
    <dxf>
      <fill>
        <patternFill>
          <bgColor rgb="FFFD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523875</xdr:colOff>
      <xdr:row>48</xdr:row>
      <xdr:rowOff>95250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67EB9219-A6FF-EC10-3F47-4765F9F8B3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257175</xdr:colOff>
      <xdr:row>48</xdr:row>
      <xdr:rowOff>152400</xdr:rowOff>
    </xdr:to>
    <xdr:sp macro="" textlink="">
      <xdr:nvSpPr>
        <xdr:cNvPr id="2073" name="Text Box 25" hidden="1">
          <a:extLst>
            <a:ext uri="{FF2B5EF4-FFF2-40B4-BE49-F238E27FC236}">
              <a16:creationId xmlns:a16="http://schemas.microsoft.com/office/drawing/2014/main" id="{A22BB3B8-50DF-7C13-8E11-712B0B7D28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257175</xdr:colOff>
      <xdr:row>48</xdr:row>
      <xdr:rowOff>152400</xdr:rowOff>
    </xdr:to>
    <xdr:sp macro="" textlink="">
      <xdr:nvSpPr>
        <xdr:cNvPr id="3085" name="Text Box 13" hidden="1">
          <a:extLst>
            <a:ext uri="{FF2B5EF4-FFF2-40B4-BE49-F238E27FC236}">
              <a16:creationId xmlns:a16="http://schemas.microsoft.com/office/drawing/2014/main" id="{AB4362BF-6F98-55CC-3A97-182DBBD245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381000</xdr:colOff>
      <xdr:row>48</xdr:row>
      <xdr:rowOff>152400</xdr:rowOff>
    </xdr:to>
    <xdr:sp macro="" textlink="">
      <xdr:nvSpPr>
        <xdr:cNvPr id="4102" name="Text Box 6" hidden="1">
          <a:extLst>
            <a:ext uri="{FF2B5EF4-FFF2-40B4-BE49-F238E27FC236}">
              <a16:creationId xmlns:a16="http://schemas.microsoft.com/office/drawing/2014/main" id="{C834BB62-DA5A-889C-2EF1-63E76750D7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257175</xdr:colOff>
      <xdr:row>48</xdr:row>
      <xdr:rowOff>152400</xdr:rowOff>
    </xdr:to>
    <xdr:sp macro="" textlink="">
      <xdr:nvSpPr>
        <xdr:cNvPr id="5133" name="Text Box 13" hidden="1">
          <a:extLst>
            <a:ext uri="{FF2B5EF4-FFF2-40B4-BE49-F238E27FC236}">
              <a16:creationId xmlns:a16="http://schemas.microsoft.com/office/drawing/2014/main" id="{FD955FBD-D236-BD88-FDF9-E3E3AD6603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247650</xdr:colOff>
      <xdr:row>48</xdr:row>
      <xdr:rowOff>152400</xdr:rowOff>
    </xdr:to>
    <xdr:sp macro="" textlink="">
      <xdr:nvSpPr>
        <xdr:cNvPr id="6150" name="Text Box 6" hidden="1">
          <a:extLst>
            <a:ext uri="{FF2B5EF4-FFF2-40B4-BE49-F238E27FC236}">
              <a16:creationId xmlns:a16="http://schemas.microsoft.com/office/drawing/2014/main" id="{BACDF469-C60D-04C5-354E-CC6D442D256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48</xdr:row>
      <xdr:rowOff>152400</xdr:rowOff>
    </xdr:to>
    <xdr:sp macro="" textlink="">
      <xdr:nvSpPr>
        <xdr:cNvPr id="7194" name="Text Box 26" hidden="1">
          <a:extLst>
            <a:ext uri="{FF2B5EF4-FFF2-40B4-BE49-F238E27FC236}">
              <a16:creationId xmlns:a16="http://schemas.microsoft.com/office/drawing/2014/main" id="{C472B08D-27C2-1888-4B31-0C9E1D5595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514350</xdr:colOff>
      <xdr:row>48</xdr:row>
      <xdr:rowOff>152400</xdr:rowOff>
    </xdr:to>
    <xdr:sp macro="" textlink="">
      <xdr:nvSpPr>
        <xdr:cNvPr id="8194" name="Text Box 2" hidden="1">
          <a:extLst>
            <a:ext uri="{FF2B5EF4-FFF2-40B4-BE49-F238E27FC236}">
              <a16:creationId xmlns:a16="http://schemas.microsoft.com/office/drawing/2014/main" id="{D9849967-4E7D-2D15-3D34-1553BBE23F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workbookViewId="0">
      <selection activeCell="B27" sqref="B27"/>
    </sheetView>
  </sheetViews>
  <sheetFormatPr defaultRowHeight="14.4" x14ac:dyDescent="0.3"/>
  <cols>
    <col min="1" max="1" width="24" customWidth="1"/>
    <col min="2" max="2" width="16" customWidth="1"/>
    <col min="3" max="3" width="14" customWidth="1"/>
    <col min="4" max="4" width="5" customWidth="1"/>
    <col min="5" max="5" width="30" customWidth="1"/>
    <col min="6" max="7" width="16" customWidth="1"/>
    <col min="8" max="8" width="14" customWidth="1"/>
  </cols>
  <sheetData>
    <row r="1" spans="1:8" ht="24" customHeight="1" x14ac:dyDescent="0.3">
      <c r="A1" s="42" t="s">
        <v>0</v>
      </c>
      <c r="B1" s="39"/>
      <c r="C1" s="39"/>
      <c r="D1" s="39"/>
      <c r="E1" s="39"/>
      <c r="F1" s="39"/>
      <c r="G1" s="39"/>
      <c r="H1" s="39"/>
    </row>
    <row r="2" spans="1:8" ht="14.1" customHeight="1" x14ac:dyDescent="0.3">
      <c r="A2" s="39"/>
      <c r="B2" s="39"/>
      <c r="C2" s="39"/>
      <c r="D2" s="39"/>
      <c r="E2" s="39"/>
      <c r="F2" s="39"/>
      <c r="G2" s="39"/>
      <c r="H2" s="39"/>
    </row>
    <row r="3" spans="1:8" ht="18" customHeight="1" x14ac:dyDescent="0.3">
      <c r="A3" s="40" t="s">
        <v>1</v>
      </c>
      <c r="B3" s="39"/>
      <c r="C3" s="39"/>
      <c r="D3" s="39"/>
      <c r="E3" s="39"/>
      <c r="F3" s="39"/>
      <c r="G3" s="39"/>
      <c r="H3" s="39"/>
    </row>
    <row r="4" spans="1:8" ht="18" customHeight="1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6" spans="1:8" ht="20.100000000000001" customHeight="1" x14ac:dyDescent="0.3">
      <c r="A6" s="41" t="s">
        <v>10</v>
      </c>
      <c r="B6" s="39"/>
      <c r="C6" s="39"/>
      <c r="E6" s="41" t="s">
        <v>11</v>
      </c>
      <c r="F6" s="39"/>
      <c r="G6" s="39"/>
    </row>
    <row r="7" spans="1:8" x14ac:dyDescent="0.3">
      <c r="A7" s="3" t="s">
        <v>12</v>
      </c>
      <c r="B7" s="4">
        <v>0.02</v>
      </c>
      <c r="E7" s="5" t="s">
        <v>13</v>
      </c>
      <c r="F7" s="26">
        <f>FV($B$12,$B$13,0,-$B$10)</f>
        <v>1082.4321600000001</v>
      </c>
    </row>
    <row r="8" spans="1:8" x14ac:dyDescent="0.3">
      <c r="A8" s="3" t="s">
        <v>14</v>
      </c>
      <c r="B8" s="27">
        <v>4</v>
      </c>
      <c r="E8" s="5" t="s">
        <v>15</v>
      </c>
      <c r="F8" s="26">
        <f>-PV($B$12,$B$13,0,$B$11)</f>
        <v>2771.5362780795426</v>
      </c>
    </row>
    <row r="9" spans="1:8" x14ac:dyDescent="0.3">
      <c r="A9" s="3" t="s">
        <v>16</v>
      </c>
      <c r="B9" s="27">
        <v>1</v>
      </c>
      <c r="E9" s="5" t="s">
        <v>17</v>
      </c>
      <c r="F9" s="6">
        <f>IF($B$10=0,"",F7/$B$10)</f>
        <v>1.08243216</v>
      </c>
    </row>
    <row r="10" spans="1:8" x14ac:dyDescent="0.3">
      <c r="A10" s="3" t="s">
        <v>18</v>
      </c>
      <c r="B10" s="28">
        <v>1000</v>
      </c>
      <c r="E10" s="5" t="s">
        <v>19</v>
      </c>
      <c r="F10" s="26">
        <f>F7-$B$10</f>
        <v>82.432160000000067</v>
      </c>
    </row>
    <row r="11" spans="1:8" x14ac:dyDescent="0.3">
      <c r="A11" s="3" t="s">
        <v>20</v>
      </c>
      <c r="B11" s="28">
        <v>3000</v>
      </c>
      <c r="E11" s="5" t="s">
        <v>21</v>
      </c>
      <c r="F11" s="7">
        <f>(1+$B$12)^$B$9-1</f>
        <v>2.0000000000000018E-2</v>
      </c>
    </row>
    <row r="12" spans="1:8" x14ac:dyDescent="0.3">
      <c r="A12" s="3" t="s">
        <v>22</v>
      </c>
      <c r="B12" s="8">
        <f>B7/B9</f>
        <v>0.02</v>
      </c>
    </row>
    <row r="13" spans="1:8" x14ac:dyDescent="0.3">
      <c r="A13" s="3" t="s">
        <v>23</v>
      </c>
      <c r="B13" s="29">
        <f>B8*B9</f>
        <v>4</v>
      </c>
    </row>
    <row r="15" spans="1:8" ht="20.100000000000001" customHeight="1" x14ac:dyDescent="0.3">
      <c r="A15" s="41" t="s">
        <v>24</v>
      </c>
      <c r="B15" s="39"/>
      <c r="C15" s="39"/>
      <c r="D15" s="39"/>
      <c r="E15" s="39"/>
      <c r="F15" s="39"/>
      <c r="G15" s="39"/>
      <c r="H15" s="39"/>
    </row>
    <row r="16" spans="1:8" x14ac:dyDescent="0.3">
      <c r="A16" s="38" t="s">
        <v>25</v>
      </c>
      <c r="B16" s="39"/>
      <c r="C16" s="39"/>
      <c r="D16" s="39"/>
      <c r="E16" s="39"/>
      <c r="F16" s="39"/>
      <c r="G16" s="39"/>
      <c r="H16" s="39"/>
    </row>
    <row r="17" spans="1:8" x14ac:dyDescent="0.3">
      <c r="A17" s="38" t="s">
        <v>26</v>
      </c>
      <c r="B17" s="39"/>
      <c r="C17" s="39"/>
      <c r="D17" s="39"/>
      <c r="E17" s="39"/>
      <c r="F17" s="39"/>
      <c r="G17" s="39"/>
      <c r="H17" s="39"/>
    </row>
  </sheetData>
  <mergeCells count="7">
    <mergeCell ref="A1:H2"/>
    <mergeCell ref="E6:G6"/>
    <mergeCell ref="A17:H17"/>
    <mergeCell ref="A3:H3"/>
    <mergeCell ref="A15:H15"/>
    <mergeCell ref="A16:H16"/>
    <mergeCell ref="A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showGridLines="0" tabSelected="1" workbookViewId="0">
      <selection activeCell="D17" sqref="D17"/>
    </sheetView>
  </sheetViews>
  <sheetFormatPr defaultRowHeight="14.4" x14ac:dyDescent="0.3"/>
  <cols>
    <col min="1" max="1" width="5" customWidth="1"/>
    <col min="2" max="2" width="24" customWidth="1"/>
    <col min="3" max="3" width="12.109375" bestFit="1" customWidth="1"/>
    <col min="4" max="5" width="11.109375" bestFit="1" customWidth="1"/>
    <col min="6" max="6" width="11" customWidth="1"/>
    <col min="7" max="7" width="15" customWidth="1"/>
    <col min="8" max="8" width="14" customWidth="1"/>
    <col min="9" max="13" width="10" customWidth="1"/>
    <col min="15" max="15" width="24" customWidth="1"/>
    <col min="16" max="17" width="14" customWidth="1"/>
  </cols>
  <sheetData>
    <row r="1" spans="1:17" ht="24" customHeight="1" x14ac:dyDescent="0.3">
      <c r="A1" s="42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4.1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8" customHeight="1" x14ac:dyDescent="0.3">
      <c r="A3" s="40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8" customHeight="1" x14ac:dyDescent="0.3">
      <c r="A4" s="2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9"/>
      <c r="J4" s="9"/>
      <c r="K4" s="9"/>
      <c r="L4" s="9"/>
      <c r="M4" s="9"/>
      <c r="N4" s="9"/>
      <c r="O4" s="9"/>
      <c r="P4" s="9"/>
      <c r="Q4" s="9"/>
    </row>
    <row r="6" spans="1:17" ht="20.100000000000001" customHeight="1" x14ac:dyDescent="0.3">
      <c r="B6" s="41" t="s">
        <v>29</v>
      </c>
      <c r="C6" s="39"/>
      <c r="O6" s="41" t="s">
        <v>30</v>
      </c>
      <c r="P6" s="39"/>
      <c r="Q6" s="39"/>
    </row>
    <row r="7" spans="1:17" x14ac:dyDescent="0.3">
      <c r="B7" s="3" t="s">
        <v>31</v>
      </c>
      <c r="C7" s="4">
        <v>0.05</v>
      </c>
      <c r="O7" s="5" t="s">
        <v>32</v>
      </c>
      <c r="P7" s="26">
        <f>SUM(C16:M16)</f>
        <v>-8648.5618254788515</v>
      </c>
    </row>
    <row r="8" spans="1:17" x14ac:dyDescent="0.3">
      <c r="B8" s="3" t="s">
        <v>33</v>
      </c>
      <c r="C8" s="28">
        <v>100000</v>
      </c>
      <c r="O8" s="5" t="s">
        <v>34</v>
      </c>
      <c r="P8" s="26">
        <f>SUM(C14:M14)</f>
        <v>5000</v>
      </c>
    </row>
    <row r="9" spans="1:17" x14ac:dyDescent="0.3">
      <c r="O9" s="5" t="s">
        <v>35</v>
      </c>
      <c r="P9" s="10" t="str">
        <f>IF(COUNTIF(C19:M19,"Yes")=0,"Not recovered",COUNTIF(C19:M19,"No"))</f>
        <v>Not recovered</v>
      </c>
    </row>
    <row r="10" spans="1:17" x14ac:dyDescent="0.3">
      <c r="C10" s="11">
        <v>0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O10" s="5" t="s">
        <v>36</v>
      </c>
      <c r="P10" s="10">
        <f>IF(COUNTIF(C20:M20,"Yes")=0,"Not recovered",COUNTIF(C20:M20,"No"))</f>
        <v>5</v>
      </c>
    </row>
    <row r="11" spans="1:17" x14ac:dyDescent="0.3">
      <c r="B11" s="3" t="s">
        <v>37</v>
      </c>
      <c r="C11" s="28">
        <v>0</v>
      </c>
      <c r="D11" s="28">
        <v>30000</v>
      </c>
      <c r="E11" s="28">
        <v>25000</v>
      </c>
      <c r="F11" s="28">
        <v>25000</v>
      </c>
      <c r="G11" s="28">
        <v>25000</v>
      </c>
      <c r="H11" s="28">
        <v>25000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O11" s="5" t="s">
        <v>38</v>
      </c>
      <c r="P11" s="26">
        <f>MIN(C17:M17)</f>
        <v>-100000</v>
      </c>
    </row>
    <row r="12" spans="1:17" x14ac:dyDescent="0.3">
      <c r="B12" s="3" t="s">
        <v>39</v>
      </c>
      <c r="C12" s="28">
        <v>0</v>
      </c>
      <c r="D12" s="28">
        <v>5000</v>
      </c>
      <c r="E12" s="28">
        <v>5000</v>
      </c>
      <c r="F12" s="28">
        <v>5000</v>
      </c>
      <c r="G12" s="28">
        <v>5000</v>
      </c>
      <c r="H12" s="28">
        <v>5000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O12" s="5" t="s">
        <v>40</v>
      </c>
      <c r="P12" s="10" t="str">
        <f>IF(P7&gt;0,"Value creating","Below hurdle")</f>
        <v>Below hurdle</v>
      </c>
    </row>
    <row r="13" spans="1:17" x14ac:dyDescent="0.3">
      <c r="B13" s="3" t="s">
        <v>41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</row>
    <row r="14" spans="1:17" x14ac:dyDescent="0.3">
      <c r="B14" s="12" t="s">
        <v>42</v>
      </c>
      <c r="C14" s="30">
        <f>-$C$8</f>
        <v>-100000</v>
      </c>
      <c r="D14" s="31">
        <f t="shared" ref="D14:M14" si="0">D11-D12+D13</f>
        <v>25000</v>
      </c>
      <c r="E14" s="31">
        <f t="shared" si="0"/>
        <v>20000</v>
      </c>
      <c r="F14" s="31">
        <f t="shared" si="0"/>
        <v>20000</v>
      </c>
      <c r="G14" s="31">
        <f t="shared" si="0"/>
        <v>20000</v>
      </c>
      <c r="H14" s="31">
        <f t="shared" si="0"/>
        <v>20000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</row>
    <row r="15" spans="1:17" x14ac:dyDescent="0.3">
      <c r="B15" s="13" t="s">
        <v>43</v>
      </c>
      <c r="C15" s="14">
        <f t="shared" ref="C15:M15" si="1">1/(1+$C$7)^C10</f>
        <v>1</v>
      </c>
      <c r="D15" s="14">
        <f t="shared" si="1"/>
        <v>0.95238095238095233</v>
      </c>
      <c r="E15" s="14">
        <f t="shared" si="1"/>
        <v>0.90702947845804982</v>
      </c>
      <c r="F15" s="14">
        <f t="shared" si="1"/>
        <v>0.86383759853147601</v>
      </c>
      <c r="G15" s="14">
        <f t="shared" si="1"/>
        <v>0.82270247479188197</v>
      </c>
      <c r="H15" s="14">
        <f t="shared" si="1"/>
        <v>0.78352616646845896</v>
      </c>
      <c r="I15" s="14">
        <f t="shared" si="1"/>
        <v>0.74621539663662761</v>
      </c>
      <c r="J15" s="14">
        <f t="shared" si="1"/>
        <v>0.71068133013012147</v>
      </c>
      <c r="K15" s="14">
        <f t="shared" si="1"/>
        <v>0.67683936202868722</v>
      </c>
      <c r="L15" s="14">
        <f t="shared" si="1"/>
        <v>0.64460891621779726</v>
      </c>
      <c r="M15" s="14">
        <f t="shared" si="1"/>
        <v>0.61391325354075932</v>
      </c>
    </row>
    <row r="16" spans="1:17" x14ac:dyDescent="0.3">
      <c r="B16" s="12" t="s">
        <v>44</v>
      </c>
      <c r="C16" s="31">
        <f t="shared" ref="C16:M16" si="2">C14*C15</f>
        <v>-100000</v>
      </c>
      <c r="D16" s="31">
        <f t="shared" si="2"/>
        <v>23809.523809523809</v>
      </c>
      <c r="E16" s="31">
        <f t="shared" si="2"/>
        <v>18140.589569160995</v>
      </c>
      <c r="F16" s="31">
        <f t="shared" si="2"/>
        <v>17276.751970629521</v>
      </c>
      <c r="G16" s="31">
        <f t="shared" si="2"/>
        <v>16454.04949583764</v>
      </c>
      <c r="H16" s="31">
        <f t="shared" si="2"/>
        <v>15670.52332936918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</row>
    <row r="17" spans="2:13" x14ac:dyDescent="0.3">
      <c r="B17" s="12" t="s">
        <v>45</v>
      </c>
      <c r="C17" s="32">
        <f>C16</f>
        <v>-100000</v>
      </c>
      <c r="D17" s="32">
        <f t="shared" ref="D17:M17" si="3">C17+D16</f>
        <v>-76190.476190476184</v>
      </c>
      <c r="E17" s="32">
        <f t="shared" si="3"/>
        <v>-58049.886621315192</v>
      </c>
      <c r="F17" s="32">
        <f t="shared" si="3"/>
        <v>-40773.134650685672</v>
      </c>
      <c r="G17" s="32">
        <f t="shared" si="3"/>
        <v>-24319.085154848031</v>
      </c>
      <c r="H17" s="32">
        <f t="shared" si="3"/>
        <v>-8648.5618254788515</v>
      </c>
      <c r="I17" s="32">
        <f t="shared" si="3"/>
        <v>-8648.5618254788515</v>
      </c>
      <c r="J17" s="32">
        <f t="shared" si="3"/>
        <v>-8648.5618254788515</v>
      </c>
      <c r="K17" s="32">
        <f t="shared" si="3"/>
        <v>-8648.5618254788515</v>
      </c>
      <c r="L17" s="32">
        <f t="shared" si="3"/>
        <v>-8648.5618254788515</v>
      </c>
      <c r="M17" s="32">
        <f t="shared" si="3"/>
        <v>-8648.5618254788515</v>
      </c>
    </row>
    <row r="18" spans="2:13" x14ac:dyDescent="0.3">
      <c r="B18" s="12" t="s">
        <v>46</v>
      </c>
      <c r="C18" s="32">
        <f>C14</f>
        <v>-100000</v>
      </c>
      <c r="D18" s="32">
        <f t="shared" ref="D18:M18" si="4">C18+D14</f>
        <v>-75000</v>
      </c>
      <c r="E18" s="32">
        <f t="shared" si="4"/>
        <v>-55000</v>
      </c>
      <c r="F18" s="32">
        <f t="shared" si="4"/>
        <v>-35000</v>
      </c>
      <c r="G18" s="32">
        <f t="shared" si="4"/>
        <v>-15000</v>
      </c>
      <c r="H18" s="32">
        <f t="shared" si="4"/>
        <v>5000</v>
      </c>
      <c r="I18" s="32">
        <f t="shared" si="4"/>
        <v>5000</v>
      </c>
      <c r="J18" s="32">
        <f t="shared" si="4"/>
        <v>5000</v>
      </c>
      <c r="K18" s="32">
        <f t="shared" si="4"/>
        <v>5000</v>
      </c>
      <c r="L18" s="32">
        <f t="shared" si="4"/>
        <v>5000</v>
      </c>
      <c r="M18" s="32">
        <f t="shared" si="4"/>
        <v>5000</v>
      </c>
    </row>
    <row r="19" spans="2:13" x14ac:dyDescent="0.3">
      <c r="B19" s="13" t="s">
        <v>47</v>
      </c>
      <c r="C19" s="15" t="str">
        <f t="shared" ref="C19:M19" si="5">IF(C17&gt;=0,"Yes","No")</f>
        <v>No</v>
      </c>
      <c r="D19" s="15" t="str">
        <f t="shared" si="5"/>
        <v>No</v>
      </c>
      <c r="E19" s="15" t="str">
        <f t="shared" si="5"/>
        <v>No</v>
      </c>
      <c r="F19" s="15" t="str">
        <f t="shared" si="5"/>
        <v>No</v>
      </c>
      <c r="G19" s="15" t="str">
        <f t="shared" si="5"/>
        <v>No</v>
      </c>
      <c r="H19" s="15" t="str">
        <f t="shared" si="5"/>
        <v>No</v>
      </c>
      <c r="I19" s="15" t="str">
        <f t="shared" si="5"/>
        <v>No</v>
      </c>
      <c r="J19" s="15" t="str">
        <f t="shared" si="5"/>
        <v>No</v>
      </c>
      <c r="K19" s="15" t="str">
        <f t="shared" si="5"/>
        <v>No</v>
      </c>
      <c r="L19" s="15" t="str">
        <f t="shared" si="5"/>
        <v>No</v>
      </c>
      <c r="M19" s="15" t="str">
        <f t="shared" si="5"/>
        <v>No</v>
      </c>
    </row>
    <row r="20" spans="2:13" x14ac:dyDescent="0.3">
      <c r="B20" s="13" t="s">
        <v>48</v>
      </c>
      <c r="C20" s="15" t="str">
        <f t="shared" ref="C20:M20" si="6">IF(C18&gt;=0,"Yes","No")</f>
        <v>No</v>
      </c>
      <c r="D20" s="15" t="str">
        <f t="shared" si="6"/>
        <v>No</v>
      </c>
      <c r="E20" s="15" t="str">
        <f t="shared" si="6"/>
        <v>No</v>
      </c>
      <c r="F20" s="15" t="str">
        <f t="shared" si="6"/>
        <v>No</v>
      </c>
      <c r="G20" s="15" t="str">
        <f t="shared" si="6"/>
        <v>No</v>
      </c>
      <c r="H20" s="15" t="str">
        <f t="shared" si="6"/>
        <v>Yes</v>
      </c>
      <c r="I20" s="15" t="str">
        <f t="shared" si="6"/>
        <v>Yes</v>
      </c>
      <c r="J20" s="15" t="str">
        <f t="shared" si="6"/>
        <v>Yes</v>
      </c>
      <c r="K20" s="15" t="str">
        <f t="shared" si="6"/>
        <v>Yes</v>
      </c>
      <c r="L20" s="15" t="str">
        <f t="shared" si="6"/>
        <v>Yes</v>
      </c>
      <c r="M20" s="15" t="str">
        <f t="shared" si="6"/>
        <v>Yes</v>
      </c>
    </row>
  </sheetData>
  <mergeCells count="4">
    <mergeCell ref="A3:Q3"/>
    <mergeCell ref="B6:C6"/>
    <mergeCell ref="A1:Q2"/>
    <mergeCell ref="O6:Q6"/>
  </mergeCells>
  <conditionalFormatting sqref="C17:M18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showGridLines="0" workbookViewId="0">
      <selection activeCell="M11" sqref="C7:M11"/>
    </sheetView>
  </sheetViews>
  <sheetFormatPr defaultRowHeight="14.4" x14ac:dyDescent="0.3"/>
  <cols>
    <col min="1" max="1" width="5" customWidth="1"/>
    <col min="2" max="2" width="24" customWidth="1"/>
    <col min="3" max="5" width="10" customWidth="1"/>
    <col min="6" max="6" width="11" customWidth="1"/>
    <col min="7" max="7" width="15" customWidth="1"/>
    <col min="8" max="8" width="14" customWidth="1"/>
    <col min="9" max="13" width="10" customWidth="1"/>
    <col min="15" max="15" width="24" customWidth="1"/>
    <col min="16" max="17" width="14" customWidth="1"/>
  </cols>
  <sheetData>
    <row r="1" spans="1:17" ht="24" customHeight="1" x14ac:dyDescent="0.3">
      <c r="A1" s="42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4.1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8" customHeight="1" x14ac:dyDescent="0.3">
      <c r="A3" s="40" t="s">
        <v>50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8" customHeight="1" x14ac:dyDescent="0.3">
      <c r="A4" s="2" t="s">
        <v>2</v>
      </c>
      <c r="B4" s="2" t="s">
        <v>3</v>
      </c>
      <c r="C4" s="1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9"/>
      <c r="J4" s="9"/>
      <c r="K4" s="9"/>
      <c r="L4" s="9"/>
      <c r="M4" s="9"/>
      <c r="N4" s="9"/>
      <c r="O4" s="9"/>
      <c r="P4" s="9"/>
      <c r="Q4" s="9"/>
    </row>
    <row r="6" spans="1:17" ht="20.100000000000001" customHeight="1" x14ac:dyDescent="0.3">
      <c r="B6" s="41" t="s">
        <v>51</v>
      </c>
      <c r="C6" s="39"/>
      <c r="O6" s="41" t="s">
        <v>30</v>
      </c>
      <c r="P6" s="39"/>
      <c r="Q6" s="39"/>
    </row>
    <row r="7" spans="1:17" x14ac:dyDescent="0.3">
      <c r="B7" s="3" t="s">
        <v>52</v>
      </c>
      <c r="C7" s="4">
        <v>0.05</v>
      </c>
      <c r="O7" s="5" t="s">
        <v>4</v>
      </c>
      <c r="P7" s="7">
        <f>IRR(C11:M11)</f>
        <v>0.13654669124812258</v>
      </c>
    </row>
    <row r="8" spans="1:17" x14ac:dyDescent="0.3">
      <c r="O8" s="5" t="s">
        <v>53</v>
      </c>
      <c r="P8" s="26">
        <f>NPV($C$7,D11:M11)+C11</f>
        <v>30527.74649794407</v>
      </c>
    </row>
    <row r="9" spans="1:17" x14ac:dyDescent="0.3">
      <c r="O9" s="5" t="s">
        <v>54</v>
      </c>
      <c r="P9" s="7">
        <f>P7-$C$7</f>
        <v>8.6546691248122573E-2</v>
      </c>
    </row>
    <row r="10" spans="1:17" x14ac:dyDescent="0.3">
      <c r="C10" s="11">
        <v>0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O10" s="5" t="s">
        <v>55</v>
      </c>
      <c r="P10" s="26">
        <f>SUM(C11:M11)</f>
        <v>55000</v>
      </c>
    </row>
    <row r="11" spans="1:17" x14ac:dyDescent="0.3">
      <c r="B11" s="16" t="s">
        <v>56</v>
      </c>
      <c r="C11" s="28">
        <v>-100000</v>
      </c>
      <c r="D11" s="28">
        <v>25000</v>
      </c>
      <c r="E11" s="28">
        <v>20000</v>
      </c>
      <c r="F11" s="28">
        <v>20000</v>
      </c>
      <c r="G11" s="28">
        <v>20000</v>
      </c>
      <c r="H11" s="28">
        <v>70000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O11" s="5" t="s">
        <v>57</v>
      </c>
      <c r="P11" s="6">
        <f>IF(ABS(C11)=0,"",SUM(D11:M11)/ABS(C11))</f>
        <v>1.55</v>
      </c>
    </row>
    <row r="12" spans="1:17" x14ac:dyDescent="0.3">
      <c r="O12" s="5" t="s">
        <v>40</v>
      </c>
      <c r="P12" s="10" t="str">
        <f>IF(P9&gt;0,"Accept","Reject")</f>
        <v>Accept</v>
      </c>
    </row>
    <row r="13" spans="1:17" x14ac:dyDescent="0.3">
      <c r="B13" s="3" t="s">
        <v>43</v>
      </c>
      <c r="C13" s="14">
        <f t="shared" ref="C13:M13" si="0">1/(1+$C$7)^C10</f>
        <v>1</v>
      </c>
      <c r="D13" s="14">
        <f t="shared" si="0"/>
        <v>0.95238095238095233</v>
      </c>
      <c r="E13" s="14">
        <f t="shared" si="0"/>
        <v>0.90702947845804982</v>
      </c>
      <c r="F13" s="14">
        <f t="shared" si="0"/>
        <v>0.86383759853147601</v>
      </c>
      <c r="G13" s="14">
        <f t="shared" si="0"/>
        <v>0.82270247479188197</v>
      </c>
      <c r="H13" s="14">
        <f t="shared" si="0"/>
        <v>0.78352616646845896</v>
      </c>
      <c r="I13" s="14">
        <f t="shared" si="0"/>
        <v>0.74621539663662761</v>
      </c>
      <c r="J13" s="14">
        <f t="shared" si="0"/>
        <v>0.71068133013012147</v>
      </c>
      <c r="K13" s="14">
        <f t="shared" si="0"/>
        <v>0.67683936202868722</v>
      </c>
      <c r="L13" s="14">
        <f t="shared" si="0"/>
        <v>0.64460891621779726</v>
      </c>
      <c r="M13" s="14">
        <f t="shared" si="0"/>
        <v>0.61391325354075932</v>
      </c>
    </row>
    <row r="14" spans="1:17" x14ac:dyDescent="0.3">
      <c r="B14" s="16" t="s">
        <v>44</v>
      </c>
      <c r="C14" s="31">
        <f t="shared" ref="C14:M14" si="1">C11*C13</f>
        <v>-100000</v>
      </c>
      <c r="D14" s="31">
        <f t="shared" si="1"/>
        <v>23809.523809523809</v>
      </c>
      <c r="E14" s="31">
        <f t="shared" si="1"/>
        <v>18140.589569160995</v>
      </c>
      <c r="F14" s="31">
        <f t="shared" si="1"/>
        <v>17276.751970629521</v>
      </c>
      <c r="G14" s="31">
        <f t="shared" si="1"/>
        <v>16454.04949583764</v>
      </c>
      <c r="H14" s="31">
        <f t="shared" si="1"/>
        <v>54846.831652792127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</row>
  </sheetData>
  <mergeCells count="4">
    <mergeCell ref="A3:Q3"/>
    <mergeCell ref="B6:C6"/>
    <mergeCell ref="A1:Q2"/>
    <mergeCell ref="O6:Q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showGridLines="0" workbookViewId="0">
      <selection activeCell="B11" sqref="B7:B11"/>
    </sheetView>
  </sheetViews>
  <sheetFormatPr defaultRowHeight="14.4" x14ac:dyDescent="0.3"/>
  <cols>
    <col min="1" max="1" width="24" customWidth="1"/>
    <col min="2" max="2" width="16" customWidth="1"/>
    <col min="3" max="3" width="14" customWidth="1"/>
    <col min="4" max="4" width="5" customWidth="1"/>
    <col min="5" max="5" width="26" customWidth="1"/>
    <col min="6" max="6" width="14" customWidth="1"/>
    <col min="7" max="7" width="15" customWidth="1"/>
    <col min="8" max="8" width="14" customWidth="1"/>
  </cols>
  <sheetData>
    <row r="1" spans="1:8" ht="24" customHeight="1" x14ac:dyDescent="0.3">
      <c r="A1" s="42" t="s">
        <v>58</v>
      </c>
      <c r="B1" s="39"/>
      <c r="C1" s="39"/>
      <c r="D1" s="39"/>
      <c r="E1" s="39"/>
      <c r="F1" s="39"/>
      <c r="G1" s="39"/>
    </row>
    <row r="2" spans="1:8" ht="14.1" customHeight="1" x14ac:dyDescent="0.3">
      <c r="A2" s="39"/>
      <c r="B2" s="39"/>
      <c r="C2" s="39"/>
      <c r="D2" s="39"/>
      <c r="E2" s="39"/>
      <c r="F2" s="39"/>
      <c r="G2" s="39"/>
    </row>
    <row r="3" spans="1:8" ht="18" customHeight="1" x14ac:dyDescent="0.3">
      <c r="A3" s="40" t="s">
        <v>59</v>
      </c>
      <c r="B3" s="39"/>
      <c r="C3" s="39"/>
      <c r="D3" s="39"/>
      <c r="E3" s="39"/>
      <c r="F3" s="39"/>
      <c r="G3" s="39"/>
    </row>
    <row r="4" spans="1:8" ht="18" customHeight="1" x14ac:dyDescent="0.3">
      <c r="A4" s="2" t="s">
        <v>2</v>
      </c>
      <c r="B4" s="2" t="s">
        <v>3</v>
      </c>
      <c r="C4" s="2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6" spans="1:8" ht="20.100000000000001" customHeight="1" x14ac:dyDescent="0.3">
      <c r="A6" s="41" t="s">
        <v>10</v>
      </c>
      <c r="B6" s="39"/>
      <c r="C6" s="39"/>
      <c r="E6" s="41" t="s">
        <v>11</v>
      </c>
      <c r="F6" s="39"/>
      <c r="G6" s="39"/>
    </row>
    <row r="7" spans="1:8" x14ac:dyDescent="0.3">
      <c r="A7" s="3" t="s">
        <v>60</v>
      </c>
      <c r="B7" s="28">
        <v>200</v>
      </c>
      <c r="E7" s="5" t="s">
        <v>61</v>
      </c>
      <c r="F7" s="26">
        <f>B8+B9-B7-B10</f>
        <v>10</v>
      </c>
    </row>
    <row r="8" spans="1:8" x14ac:dyDescent="0.3">
      <c r="A8" s="3" t="s">
        <v>62</v>
      </c>
      <c r="B8" s="28">
        <v>210</v>
      </c>
      <c r="E8" s="5" t="s">
        <v>63</v>
      </c>
      <c r="F8" s="7">
        <f>IF(B7=0,"",F7/B7)</f>
        <v>0.05</v>
      </c>
    </row>
    <row r="9" spans="1:8" x14ac:dyDescent="0.3">
      <c r="A9" s="3" t="s">
        <v>64</v>
      </c>
      <c r="B9" s="28">
        <v>0</v>
      </c>
      <c r="E9" s="5" t="s">
        <v>65</v>
      </c>
      <c r="F9" s="7">
        <f>IF(OR(B7&lt;=0,B11&lt;=0,(B8+B9-B10)&lt;=0),"",((B8+B9-B10)/B7)^(1/B11)-1)</f>
        <v>5.0000000000000044E-2</v>
      </c>
    </row>
    <row r="10" spans="1:8" x14ac:dyDescent="0.3">
      <c r="A10" s="3" t="s">
        <v>66</v>
      </c>
      <c r="B10" s="28">
        <v>0</v>
      </c>
      <c r="E10" s="5" t="s">
        <v>67</v>
      </c>
      <c r="F10" s="7">
        <f>IF((B8+B9)=0,"",F7/(B8+B9))</f>
        <v>4.7619047619047616E-2</v>
      </c>
    </row>
    <row r="11" spans="1:8" x14ac:dyDescent="0.3">
      <c r="A11" s="3" t="s">
        <v>68</v>
      </c>
      <c r="B11" s="17">
        <v>1</v>
      </c>
      <c r="E11" s="5" t="s">
        <v>57</v>
      </c>
      <c r="F11" s="6">
        <f>IF(B7=0,"",(B8+B9-B10)/B7)</f>
        <v>1.05</v>
      </c>
    </row>
  </sheetData>
  <mergeCells count="4">
    <mergeCell ref="A3:G3"/>
    <mergeCell ref="E6:G6"/>
    <mergeCell ref="A6:C6"/>
    <mergeCell ref="A1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showGridLines="0" workbookViewId="0">
      <selection activeCell="M11" sqref="C7:M11"/>
    </sheetView>
  </sheetViews>
  <sheetFormatPr defaultRowHeight="14.4" x14ac:dyDescent="0.3"/>
  <cols>
    <col min="1" max="1" width="5" customWidth="1"/>
    <col min="2" max="2" width="24" customWidth="1"/>
    <col min="3" max="5" width="10" customWidth="1"/>
    <col min="6" max="6" width="11" customWidth="1"/>
    <col min="7" max="7" width="15" customWidth="1"/>
    <col min="8" max="8" width="14" customWidth="1"/>
    <col min="9" max="13" width="10" customWidth="1"/>
    <col min="15" max="15" width="24" customWidth="1"/>
    <col min="16" max="17" width="14" customWidth="1"/>
  </cols>
  <sheetData>
    <row r="1" spans="1:17" ht="24" customHeight="1" x14ac:dyDescent="0.3">
      <c r="A1" s="42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4.1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8" customHeight="1" x14ac:dyDescent="0.3">
      <c r="A3" s="40" t="s">
        <v>70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8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1" t="s">
        <v>6</v>
      </c>
      <c r="F4" s="2" t="s">
        <v>7</v>
      </c>
      <c r="G4" s="2" t="s">
        <v>8</v>
      </c>
      <c r="H4" s="2" t="s">
        <v>9</v>
      </c>
      <c r="I4" s="9"/>
      <c r="J4" s="9"/>
      <c r="K4" s="9"/>
      <c r="L4" s="9"/>
      <c r="M4" s="9"/>
      <c r="N4" s="9"/>
      <c r="O4" s="9"/>
      <c r="P4" s="9"/>
      <c r="Q4" s="9"/>
    </row>
    <row r="6" spans="1:17" ht="20.100000000000001" customHeight="1" x14ac:dyDescent="0.3">
      <c r="B6" s="41" t="s">
        <v>71</v>
      </c>
      <c r="C6" s="39"/>
      <c r="O6" s="41" t="s">
        <v>30</v>
      </c>
      <c r="P6" s="39"/>
      <c r="Q6" s="39"/>
    </row>
    <row r="7" spans="1:17" x14ac:dyDescent="0.3">
      <c r="B7" s="3" t="s">
        <v>31</v>
      </c>
      <c r="C7" s="4">
        <v>0.05</v>
      </c>
      <c r="O7" s="5" t="s">
        <v>36</v>
      </c>
      <c r="P7" s="10">
        <f>IF(COUNTIF(C17:M17,"Yes")=0,"Not recovered",COUNTIF(C17:M17,"No"))</f>
        <v>5</v>
      </c>
    </row>
    <row r="8" spans="1:17" x14ac:dyDescent="0.3">
      <c r="O8" s="5" t="s">
        <v>35</v>
      </c>
      <c r="P8" s="10">
        <f>IF(COUNTIF(C18:M18,"Yes")=0,"Not recovered",COUNTIF(C18:M18,"No"))</f>
        <v>7</v>
      </c>
    </row>
    <row r="9" spans="1:17" x14ac:dyDescent="0.3">
      <c r="O9" s="5" t="s">
        <v>72</v>
      </c>
      <c r="P9" s="10" t="str">
        <f>IF(P7="Not recovered","No","Yes")</f>
        <v>Yes</v>
      </c>
    </row>
    <row r="10" spans="1:17" x14ac:dyDescent="0.3">
      <c r="C10" s="11">
        <v>0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O10" s="5" t="s">
        <v>73</v>
      </c>
      <c r="P10" s="10" t="str">
        <f>IF(P8="Not recovered","No","Yes")</f>
        <v>Yes</v>
      </c>
    </row>
    <row r="11" spans="1:17" x14ac:dyDescent="0.3">
      <c r="B11" s="16" t="s">
        <v>56</v>
      </c>
      <c r="C11" s="28">
        <v>-100000</v>
      </c>
      <c r="D11" s="28">
        <v>25000</v>
      </c>
      <c r="E11" s="28">
        <v>20000</v>
      </c>
      <c r="F11" s="28">
        <v>20000</v>
      </c>
      <c r="G11" s="28">
        <v>20000</v>
      </c>
      <c r="H11" s="28">
        <v>20000</v>
      </c>
      <c r="I11" s="28">
        <v>8000</v>
      </c>
      <c r="J11" s="28">
        <v>8000</v>
      </c>
      <c r="K11" s="28">
        <v>8000</v>
      </c>
      <c r="L11" s="28">
        <v>8000</v>
      </c>
      <c r="M11" s="28">
        <v>8000</v>
      </c>
      <c r="O11" s="5" t="s">
        <v>74</v>
      </c>
      <c r="P11" s="26">
        <f>H16</f>
        <v>-8648.5618254788515</v>
      </c>
    </row>
    <row r="12" spans="1:17" x14ac:dyDescent="0.3">
      <c r="O12" s="5" t="s">
        <v>75</v>
      </c>
      <c r="P12" s="10" t="str">
        <f>IF(AND(P9="Yes",P10="Yes"),"Recovered under both methods","Needs longer horizon")</f>
        <v>Recovered under both methods</v>
      </c>
    </row>
    <row r="13" spans="1:17" x14ac:dyDescent="0.3">
      <c r="B13" s="3" t="s">
        <v>43</v>
      </c>
      <c r="C13" s="14">
        <f t="shared" ref="C13:M13" si="0">1/(1+$C$7)^C10</f>
        <v>1</v>
      </c>
      <c r="D13" s="14">
        <f t="shared" si="0"/>
        <v>0.95238095238095233</v>
      </c>
      <c r="E13" s="14">
        <f t="shared" si="0"/>
        <v>0.90702947845804982</v>
      </c>
      <c r="F13" s="14">
        <f t="shared" si="0"/>
        <v>0.86383759853147601</v>
      </c>
      <c r="G13" s="14">
        <f t="shared" si="0"/>
        <v>0.82270247479188197</v>
      </c>
      <c r="H13" s="14">
        <f t="shared" si="0"/>
        <v>0.78352616646845896</v>
      </c>
      <c r="I13" s="14">
        <f t="shared" si="0"/>
        <v>0.74621539663662761</v>
      </c>
      <c r="J13" s="14">
        <f t="shared" si="0"/>
        <v>0.71068133013012147</v>
      </c>
      <c r="K13" s="14">
        <f t="shared" si="0"/>
        <v>0.67683936202868722</v>
      </c>
      <c r="L13" s="14">
        <f t="shared" si="0"/>
        <v>0.64460891621779726</v>
      </c>
      <c r="M13" s="14">
        <f t="shared" si="0"/>
        <v>0.61391325354075932</v>
      </c>
    </row>
    <row r="14" spans="1:17" x14ac:dyDescent="0.3">
      <c r="B14" s="16" t="s">
        <v>44</v>
      </c>
      <c r="C14" s="31">
        <f t="shared" ref="C14:M14" si="1">C11*C13</f>
        <v>-100000</v>
      </c>
      <c r="D14" s="31">
        <f t="shared" si="1"/>
        <v>23809.523809523809</v>
      </c>
      <c r="E14" s="31">
        <f t="shared" si="1"/>
        <v>18140.589569160995</v>
      </c>
      <c r="F14" s="31">
        <f t="shared" si="1"/>
        <v>17276.751970629521</v>
      </c>
      <c r="G14" s="31">
        <f t="shared" si="1"/>
        <v>16454.04949583764</v>
      </c>
      <c r="H14" s="31">
        <f t="shared" si="1"/>
        <v>15670.52332936918</v>
      </c>
      <c r="I14" s="31">
        <f t="shared" si="1"/>
        <v>5969.7231730930207</v>
      </c>
      <c r="J14" s="31">
        <f t="shared" si="1"/>
        <v>5685.4506410409722</v>
      </c>
      <c r="K14" s="31">
        <f t="shared" si="1"/>
        <v>5414.7148962294978</v>
      </c>
      <c r="L14" s="31">
        <f t="shared" si="1"/>
        <v>5156.8713297423783</v>
      </c>
      <c r="M14" s="31">
        <f t="shared" si="1"/>
        <v>4911.3060283260747</v>
      </c>
    </row>
    <row r="15" spans="1:17" x14ac:dyDescent="0.3">
      <c r="B15" s="16" t="s">
        <v>76</v>
      </c>
      <c r="C15" s="32">
        <f>C11</f>
        <v>-100000</v>
      </c>
      <c r="D15" s="32">
        <f t="shared" ref="D15:M15" si="2">C15+D11</f>
        <v>-75000</v>
      </c>
      <c r="E15" s="32">
        <f t="shared" si="2"/>
        <v>-55000</v>
      </c>
      <c r="F15" s="32">
        <f t="shared" si="2"/>
        <v>-35000</v>
      </c>
      <c r="G15" s="32">
        <f t="shared" si="2"/>
        <v>-15000</v>
      </c>
      <c r="H15" s="32">
        <f t="shared" si="2"/>
        <v>5000</v>
      </c>
      <c r="I15" s="32">
        <f t="shared" si="2"/>
        <v>13000</v>
      </c>
      <c r="J15" s="32">
        <f t="shared" si="2"/>
        <v>21000</v>
      </c>
      <c r="K15" s="32">
        <f t="shared" si="2"/>
        <v>29000</v>
      </c>
      <c r="L15" s="32">
        <f t="shared" si="2"/>
        <v>37000</v>
      </c>
      <c r="M15" s="32">
        <f t="shared" si="2"/>
        <v>45000</v>
      </c>
    </row>
    <row r="16" spans="1:17" x14ac:dyDescent="0.3">
      <c r="B16" s="16" t="s">
        <v>45</v>
      </c>
      <c r="C16" s="32">
        <f>C14</f>
        <v>-100000</v>
      </c>
      <c r="D16" s="32">
        <f t="shared" ref="D16:M16" si="3">C16+D14</f>
        <v>-76190.476190476184</v>
      </c>
      <c r="E16" s="32">
        <f t="shared" si="3"/>
        <v>-58049.886621315192</v>
      </c>
      <c r="F16" s="32">
        <f t="shared" si="3"/>
        <v>-40773.134650685672</v>
      </c>
      <c r="G16" s="32">
        <f t="shared" si="3"/>
        <v>-24319.085154848031</v>
      </c>
      <c r="H16" s="32">
        <f t="shared" si="3"/>
        <v>-8648.5618254788515</v>
      </c>
      <c r="I16" s="32">
        <f t="shared" si="3"/>
        <v>-2678.8386523858308</v>
      </c>
      <c r="J16" s="32">
        <f t="shared" si="3"/>
        <v>3006.6119886551414</v>
      </c>
      <c r="K16" s="32">
        <f t="shared" si="3"/>
        <v>8421.3268848846383</v>
      </c>
      <c r="L16" s="32">
        <f t="shared" si="3"/>
        <v>13578.198214627017</v>
      </c>
      <c r="M16" s="32">
        <f t="shared" si="3"/>
        <v>18489.504242953091</v>
      </c>
    </row>
    <row r="17" spans="2:13" x14ac:dyDescent="0.3">
      <c r="B17" s="3" t="s">
        <v>48</v>
      </c>
      <c r="C17" s="15" t="str">
        <f t="shared" ref="C17:M17" si="4">IF(C15&gt;=0,"Yes","No")</f>
        <v>No</v>
      </c>
      <c r="D17" s="15" t="str">
        <f t="shared" si="4"/>
        <v>No</v>
      </c>
      <c r="E17" s="15" t="str">
        <f t="shared" si="4"/>
        <v>No</v>
      </c>
      <c r="F17" s="15" t="str">
        <f t="shared" si="4"/>
        <v>No</v>
      </c>
      <c r="G17" s="15" t="str">
        <f t="shared" si="4"/>
        <v>No</v>
      </c>
      <c r="H17" s="15" t="str">
        <f t="shared" si="4"/>
        <v>Yes</v>
      </c>
      <c r="I17" s="15" t="str">
        <f t="shared" si="4"/>
        <v>Yes</v>
      </c>
      <c r="J17" s="15" t="str">
        <f t="shared" si="4"/>
        <v>Yes</v>
      </c>
      <c r="K17" s="15" t="str">
        <f t="shared" si="4"/>
        <v>Yes</v>
      </c>
      <c r="L17" s="15" t="str">
        <f t="shared" si="4"/>
        <v>Yes</v>
      </c>
      <c r="M17" s="15" t="str">
        <f t="shared" si="4"/>
        <v>Yes</v>
      </c>
    </row>
    <row r="18" spans="2:13" x14ac:dyDescent="0.3">
      <c r="B18" s="3" t="s">
        <v>47</v>
      </c>
      <c r="C18" s="15" t="str">
        <f t="shared" ref="C18:M18" si="5">IF(C16&gt;=0,"Yes","No")</f>
        <v>No</v>
      </c>
      <c r="D18" s="15" t="str">
        <f t="shared" si="5"/>
        <v>No</v>
      </c>
      <c r="E18" s="15" t="str">
        <f t="shared" si="5"/>
        <v>No</v>
      </c>
      <c r="F18" s="15" t="str">
        <f t="shared" si="5"/>
        <v>No</v>
      </c>
      <c r="G18" s="15" t="str">
        <f t="shared" si="5"/>
        <v>No</v>
      </c>
      <c r="H18" s="15" t="str">
        <f t="shared" si="5"/>
        <v>No</v>
      </c>
      <c r="I18" s="15" t="str">
        <f t="shared" si="5"/>
        <v>No</v>
      </c>
      <c r="J18" s="15" t="str">
        <f t="shared" si="5"/>
        <v>Yes</v>
      </c>
      <c r="K18" s="15" t="str">
        <f t="shared" si="5"/>
        <v>Yes</v>
      </c>
      <c r="L18" s="15" t="str">
        <f t="shared" si="5"/>
        <v>Yes</v>
      </c>
      <c r="M18" s="15" t="str">
        <f t="shared" si="5"/>
        <v>Yes</v>
      </c>
    </row>
  </sheetData>
  <mergeCells count="4">
    <mergeCell ref="A3:Q3"/>
    <mergeCell ref="B6:C6"/>
    <mergeCell ref="A1:Q2"/>
    <mergeCell ref="O6:Q6"/>
  </mergeCells>
  <conditionalFormatting sqref="C15:M16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showGridLines="0" workbookViewId="0">
      <selection activeCell="B11" sqref="B7:B11"/>
    </sheetView>
  </sheetViews>
  <sheetFormatPr defaultRowHeight="14.4" x14ac:dyDescent="0.3"/>
  <cols>
    <col min="1" max="1" width="24" customWidth="1"/>
    <col min="2" max="2" width="16" customWidth="1"/>
    <col min="3" max="3" width="14" customWidth="1"/>
    <col min="4" max="4" width="5" customWidth="1"/>
    <col min="5" max="5" width="28" customWidth="1"/>
    <col min="6" max="6" width="14" customWidth="1"/>
    <col min="7" max="7" width="15" customWidth="1"/>
    <col min="8" max="8" width="14" customWidth="1"/>
  </cols>
  <sheetData>
    <row r="1" spans="1:8" ht="24" customHeight="1" x14ac:dyDescent="0.3">
      <c r="A1" s="42" t="s">
        <v>77</v>
      </c>
      <c r="B1" s="39"/>
      <c r="C1" s="39"/>
      <c r="D1" s="39"/>
      <c r="E1" s="39"/>
      <c r="F1" s="39"/>
      <c r="G1" s="39"/>
    </row>
    <row r="2" spans="1:8" ht="14.1" customHeight="1" x14ac:dyDescent="0.3">
      <c r="A2" s="39"/>
      <c r="B2" s="39"/>
      <c r="C2" s="39"/>
      <c r="D2" s="39"/>
      <c r="E2" s="39"/>
      <c r="F2" s="39"/>
      <c r="G2" s="39"/>
    </row>
    <row r="3" spans="1:8" ht="18" customHeight="1" x14ac:dyDescent="0.3">
      <c r="A3" s="40" t="s">
        <v>78</v>
      </c>
      <c r="B3" s="39"/>
      <c r="C3" s="39"/>
      <c r="D3" s="39"/>
      <c r="E3" s="39"/>
      <c r="F3" s="39"/>
      <c r="G3" s="39"/>
    </row>
    <row r="4" spans="1:8" ht="18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" t="s">
        <v>7</v>
      </c>
      <c r="G4" s="2" t="s">
        <v>8</v>
      </c>
      <c r="H4" s="2" t="s">
        <v>9</v>
      </c>
    </row>
    <row r="6" spans="1:8" ht="20.100000000000001" customHeight="1" x14ac:dyDescent="0.3">
      <c r="A6" s="41" t="s">
        <v>10</v>
      </c>
      <c r="B6" s="39"/>
      <c r="C6" s="39"/>
      <c r="E6" s="41" t="s">
        <v>11</v>
      </c>
      <c r="F6" s="39"/>
      <c r="G6" s="39"/>
    </row>
    <row r="7" spans="1:8" x14ac:dyDescent="0.3">
      <c r="A7" s="3" t="s">
        <v>79</v>
      </c>
      <c r="B7" s="28">
        <v>1000</v>
      </c>
      <c r="E7" s="5" t="s">
        <v>80</v>
      </c>
      <c r="F7" s="26">
        <f>B8-B9</f>
        <v>4</v>
      </c>
    </row>
    <row r="8" spans="1:8" x14ac:dyDescent="0.3">
      <c r="A8" s="3" t="s">
        <v>81</v>
      </c>
      <c r="B8" s="28">
        <v>11</v>
      </c>
      <c r="E8" s="5" t="s">
        <v>82</v>
      </c>
      <c r="F8" s="18">
        <f>IF(F7&lt;=0,"N/A",B7/F7)</f>
        <v>250</v>
      </c>
    </row>
    <row r="9" spans="1:8" x14ac:dyDescent="0.3">
      <c r="A9" s="3" t="s">
        <v>83</v>
      </c>
      <c r="B9" s="28">
        <v>7</v>
      </c>
      <c r="E9" s="5" t="s">
        <v>84</v>
      </c>
      <c r="F9" s="26">
        <f>IF(F7&lt;=0,"N/A",F8*B8)</f>
        <v>2750</v>
      </c>
    </row>
    <row r="10" spans="1:8" x14ac:dyDescent="0.3">
      <c r="A10" s="3" t="s">
        <v>85</v>
      </c>
      <c r="B10" s="28">
        <v>2000</v>
      </c>
      <c r="E10" s="5" t="s">
        <v>86</v>
      </c>
      <c r="F10" s="18">
        <f>IF(F7&lt;=0,"N/A",(B7+B10)/F7)</f>
        <v>750</v>
      </c>
    </row>
    <row r="11" spans="1:8" x14ac:dyDescent="0.3">
      <c r="A11" s="3" t="s">
        <v>87</v>
      </c>
      <c r="B11" s="27">
        <v>300</v>
      </c>
      <c r="E11" s="5" t="s">
        <v>88</v>
      </c>
      <c r="F11" s="18">
        <f>IF(OR(F7&lt;=0,F8="N/A"),"N/A",B11-F8)</f>
        <v>50</v>
      </c>
    </row>
  </sheetData>
  <mergeCells count="4">
    <mergeCell ref="A3:G3"/>
    <mergeCell ref="E6:G6"/>
    <mergeCell ref="A6:C6"/>
    <mergeCell ref="A1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"/>
  <sheetViews>
    <sheetView showGridLines="0" workbookViewId="0">
      <selection activeCell="E11" sqref="E11"/>
    </sheetView>
  </sheetViews>
  <sheetFormatPr defaultRowHeight="14.4" x14ac:dyDescent="0.3"/>
  <cols>
    <col min="1" max="1" width="8" customWidth="1"/>
    <col min="2" max="2" width="24" customWidth="1"/>
    <col min="3" max="3" width="10" customWidth="1"/>
    <col min="4" max="6" width="12" customWidth="1"/>
    <col min="7" max="7" width="15" customWidth="1"/>
    <col min="8" max="8" width="14" customWidth="1"/>
  </cols>
  <sheetData>
    <row r="1" spans="1:8" ht="24" customHeight="1" x14ac:dyDescent="0.3">
      <c r="A1" s="42" t="s">
        <v>89</v>
      </c>
      <c r="B1" s="39"/>
      <c r="C1" s="39"/>
      <c r="D1" s="39"/>
      <c r="E1" s="39"/>
      <c r="F1" s="39"/>
      <c r="G1" s="39"/>
      <c r="H1" s="39"/>
    </row>
    <row r="2" spans="1:8" ht="14.1" customHeight="1" x14ac:dyDescent="0.3">
      <c r="A2" s="39"/>
      <c r="B2" s="39"/>
      <c r="C2" s="39"/>
      <c r="D2" s="39"/>
      <c r="E2" s="39"/>
      <c r="F2" s="39"/>
      <c r="G2" s="39"/>
      <c r="H2" s="39"/>
    </row>
    <row r="3" spans="1:8" ht="18" customHeight="1" x14ac:dyDescent="0.3">
      <c r="A3" s="40" t="s">
        <v>90</v>
      </c>
      <c r="B3" s="39"/>
      <c r="C3" s="39"/>
      <c r="D3" s="39"/>
      <c r="E3" s="39"/>
      <c r="F3" s="39"/>
      <c r="G3" s="39"/>
      <c r="H3" s="39"/>
    </row>
    <row r="4" spans="1:8" ht="18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8</v>
      </c>
      <c r="H4" s="2" t="s">
        <v>9</v>
      </c>
    </row>
    <row r="6" spans="1:8" ht="20.100000000000001" customHeight="1" x14ac:dyDescent="0.3">
      <c r="B6" s="41" t="s">
        <v>91</v>
      </c>
      <c r="C6" s="39"/>
      <c r="D6" s="39"/>
      <c r="E6" s="39"/>
      <c r="F6" s="39"/>
      <c r="G6" s="39"/>
    </row>
    <row r="7" spans="1:8" x14ac:dyDescent="0.3">
      <c r="B7" s="19" t="s">
        <v>92</v>
      </c>
      <c r="C7" s="19" t="s">
        <v>93</v>
      </c>
      <c r="D7" s="19" t="s">
        <v>94</v>
      </c>
      <c r="E7" s="19" t="s">
        <v>95</v>
      </c>
      <c r="F7" s="19" t="s">
        <v>96</v>
      </c>
      <c r="G7" s="19" t="s">
        <v>97</v>
      </c>
    </row>
    <row r="8" spans="1:8" x14ac:dyDescent="0.3">
      <c r="B8" s="3" t="s">
        <v>4</v>
      </c>
      <c r="C8" s="27">
        <v>3</v>
      </c>
      <c r="D8" s="27">
        <v>8</v>
      </c>
      <c r="E8" s="27">
        <v>6</v>
      </c>
      <c r="F8" s="27">
        <v>5</v>
      </c>
      <c r="G8" s="27">
        <v>3</v>
      </c>
    </row>
    <row r="9" spans="1:8" x14ac:dyDescent="0.3">
      <c r="B9" s="3" t="s">
        <v>32</v>
      </c>
      <c r="C9" s="27">
        <v>4</v>
      </c>
      <c r="D9" s="27">
        <v>5</v>
      </c>
      <c r="E9" s="27">
        <v>4</v>
      </c>
      <c r="F9" s="27">
        <v>7</v>
      </c>
      <c r="G9" s="27">
        <v>10</v>
      </c>
    </row>
    <row r="10" spans="1:8" x14ac:dyDescent="0.3">
      <c r="B10" s="3" t="s">
        <v>98</v>
      </c>
      <c r="C10" s="27">
        <v>4</v>
      </c>
      <c r="D10" s="27">
        <v>7</v>
      </c>
      <c r="E10" s="27">
        <v>9</v>
      </c>
      <c r="F10" s="27">
        <v>6</v>
      </c>
      <c r="G10" s="27">
        <v>7</v>
      </c>
    </row>
    <row r="11" spans="1:8" x14ac:dyDescent="0.3">
      <c r="B11" s="3" t="s">
        <v>99</v>
      </c>
      <c r="C11" s="27">
        <v>5</v>
      </c>
      <c r="D11" s="27">
        <v>6</v>
      </c>
      <c r="E11" s="27">
        <v>8</v>
      </c>
      <c r="F11" s="27">
        <v>5</v>
      </c>
      <c r="G11" s="27">
        <v>4</v>
      </c>
    </row>
    <row r="12" spans="1:8" x14ac:dyDescent="0.3">
      <c r="B12" s="3" t="s">
        <v>100</v>
      </c>
      <c r="C12" s="27">
        <v>5</v>
      </c>
      <c r="D12" s="27">
        <v>5</v>
      </c>
      <c r="E12" s="27">
        <v>6</v>
      </c>
      <c r="F12" s="27">
        <v>8</v>
      </c>
      <c r="G12" s="27">
        <v>5</v>
      </c>
    </row>
    <row r="13" spans="1:8" x14ac:dyDescent="0.3">
      <c r="B13" s="20" t="s">
        <v>101</v>
      </c>
      <c r="C13" s="21"/>
      <c r="D13" s="33">
        <f>SUMPRODUCT($C$8:$C$12,D$8:D$12)</f>
        <v>127</v>
      </c>
      <c r="E13" s="33">
        <f>SUMPRODUCT($C$8:$C$12,E$8:E$12)</f>
        <v>140</v>
      </c>
      <c r="F13" s="33">
        <f>SUMPRODUCT($C$8:$C$12,F$8:F$12)</f>
        <v>132</v>
      </c>
      <c r="G13" s="33">
        <f>SUMPRODUCT($C$8:$C$12,G$8:G$12)</f>
        <v>122</v>
      </c>
    </row>
    <row r="14" spans="1:8" x14ac:dyDescent="0.3">
      <c r="B14" s="16" t="s">
        <v>102</v>
      </c>
      <c r="D14" s="34">
        <f>RANK(D13,$D$13:$G$13,0)</f>
        <v>3</v>
      </c>
      <c r="E14" s="34">
        <f>RANK(E13,$D$13:$G$13,0)</f>
        <v>1</v>
      </c>
      <c r="F14" s="34">
        <f>RANK(F13,$D$13:$G$13,0)</f>
        <v>2</v>
      </c>
      <c r="G14" s="34">
        <f>RANK(G13,$D$13:$G$13,0)</f>
        <v>4</v>
      </c>
    </row>
    <row r="16" spans="1:8" x14ac:dyDescent="0.3">
      <c r="B16" s="5" t="s">
        <v>103</v>
      </c>
      <c r="C16" s="10" t="str">
        <f>IF(D13=MAX($D$13:$G$13),D7,IF(E13=MAX($D$13:$G$13),E7,IF(F13=MAX($D$13:$G$13),F7,G7)))</f>
        <v>Project 2</v>
      </c>
    </row>
    <row r="17" spans="3:7" x14ac:dyDescent="0.3">
      <c r="C17" s="38" t="s">
        <v>104</v>
      </c>
      <c r="D17" s="39"/>
      <c r="E17" s="39"/>
      <c r="F17" s="39"/>
      <c r="G17" s="39"/>
    </row>
  </sheetData>
  <mergeCells count="4">
    <mergeCell ref="A1:H2"/>
    <mergeCell ref="A3:H3"/>
    <mergeCell ref="C17:G17"/>
    <mergeCell ref="B6:G6"/>
  </mergeCells>
  <conditionalFormatting sqref="D8:G12">
    <cfRule type="colorScale" priority="1">
      <colorScale>
        <cfvo type="num" val="1"/>
        <cfvo type="num" val="5"/>
        <cfvo type="num" val="10"/>
        <color rgb="FFFDE2E2"/>
        <color rgb="FFFFF7CC"/>
        <color rgb="FFE2F6E2"/>
      </colorScale>
    </cfRule>
  </conditionalFormatting>
  <conditionalFormatting sqref="D13:G13">
    <cfRule type="colorScale" priority="2">
      <colorScale>
        <cfvo type="min"/>
        <cfvo type="percentile" val="50"/>
        <cfvo type="max"/>
        <color rgb="FFFDE2E2"/>
        <color rgb="FFFFF7CC"/>
        <color rgb="FFE2F6E2"/>
      </colorScale>
    </cfRule>
  </conditionalFormatting>
  <dataValidations count="1">
    <dataValidation type="whole" sqref="C8:G12" xr:uid="{00000000-0002-0000-0600-000000000000}">
      <formula1>1</formula1>
      <formula2>10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showGridLines="0" workbookViewId="0">
      <selection activeCell="H4" sqref="H4"/>
    </sheetView>
  </sheetViews>
  <sheetFormatPr defaultRowHeight="14.4" x14ac:dyDescent="0.3"/>
  <cols>
    <col min="1" max="1" width="12" customWidth="1"/>
    <col min="2" max="2" width="10.109375" customWidth="1"/>
    <col min="3" max="4" width="8" customWidth="1"/>
    <col min="5" max="5" width="10" customWidth="1"/>
    <col min="6" max="6" width="11" customWidth="1"/>
    <col min="7" max="7" width="15" customWidth="1"/>
    <col min="8" max="8" width="14" customWidth="1"/>
    <col min="9" max="10" width="10" customWidth="1"/>
    <col min="12" max="12" width="18" customWidth="1"/>
    <col min="13" max="15" width="12" customWidth="1"/>
    <col min="16" max="16" width="10" customWidth="1"/>
  </cols>
  <sheetData>
    <row r="1" spans="1:16" ht="24" customHeight="1" x14ac:dyDescent="0.3">
      <c r="A1" s="42" t="s">
        <v>105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1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8" customHeight="1" x14ac:dyDescent="0.3">
      <c r="A3" s="40" t="s">
        <v>106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8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1" t="s">
        <v>9</v>
      </c>
      <c r="I4" s="9"/>
      <c r="J4" s="9"/>
      <c r="K4" s="9"/>
      <c r="L4" s="9"/>
      <c r="M4" s="9"/>
      <c r="N4" s="9"/>
      <c r="O4" s="9"/>
      <c r="P4" s="9"/>
    </row>
    <row r="6" spans="1:16" ht="20.100000000000001" customHeight="1" x14ac:dyDescent="0.3">
      <c r="B6" s="41" t="s">
        <v>107</v>
      </c>
      <c r="C6" s="39"/>
      <c r="L6" s="41" t="s">
        <v>108</v>
      </c>
      <c r="M6" s="39"/>
      <c r="N6" s="39"/>
      <c r="O6" s="39"/>
      <c r="P6" s="39"/>
    </row>
    <row r="7" spans="1:16" ht="41.4" x14ac:dyDescent="0.3">
      <c r="B7" s="36" t="s">
        <v>109</v>
      </c>
      <c r="C7" s="27">
        <v>1</v>
      </c>
    </row>
    <row r="8" spans="1:16" ht="41.4" x14ac:dyDescent="0.3">
      <c r="B8" s="36" t="s">
        <v>110</v>
      </c>
      <c r="C8" s="37" t="s">
        <v>111</v>
      </c>
    </row>
    <row r="10" spans="1:16" x14ac:dyDescent="0.3">
      <c r="A10" s="19" t="s">
        <v>112</v>
      </c>
      <c r="B10" s="19" t="s">
        <v>113</v>
      </c>
      <c r="C10" s="19" t="s">
        <v>114</v>
      </c>
      <c r="D10" s="19" t="s">
        <v>115</v>
      </c>
      <c r="E10" s="19" t="s">
        <v>116</v>
      </c>
      <c r="F10" s="19" t="s">
        <v>117</v>
      </c>
      <c r="G10" s="19" t="s">
        <v>118</v>
      </c>
      <c r="H10" s="19" t="s">
        <v>119</v>
      </c>
      <c r="I10" s="19" t="s">
        <v>120</v>
      </c>
      <c r="J10" s="19" t="s">
        <v>121</v>
      </c>
      <c r="L10" s="19" t="s">
        <v>122</v>
      </c>
      <c r="M10" s="19" t="s">
        <v>123</v>
      </c>
      <c r="N10" s="19" t="s">
        <v>124</v>
      </c>
      <c r="O10" s="19" t="s">
        <v>125</v>
      </c>
      <c r="P10" s="19" t="s">
        <v>126</v>
      </c>
    </row>
    <row r="11" spans="1:16" x14ac:dyDescent="0.3">
      <c r="A11" s="3" t="s">
        <v>127</v>
      </c>
      <c r="B11" s="35">
        <v>1</v>
      </c>
      <c r="C11" s="35">
        <v>4</v>
      </c>
      <c r="D11" s="35">
        <v>6</v>
      </c>
      <c r="E11" s="35">
        <v>2</v>
      </c>
      <c r="F11" s="35">
        <v>1</v>
      </c>
      <c r="G11" s="35">
        <v>2</v>
      </c>
      <c r="H11" s="22">
        <v>1.2</v>
      </c>
      <c r="I11" s="22">
        <v>2.2000000000000002</v>
      </c>
      <c r="J11" s="27">
        <v>1</v>
      </c>
      <c r="L11" s="3" t="s">
        <v>128</v>
      </c>
      <c r="M11" s="29">
        <v>20</v>
      </c>
      <c r="N11" s="35">
        <f>SUMPRODUCT(C11:C18,$J$11:$J$18)</f>
        <v>15</v>
      </c>
      <c r="O11" s="23" t="s">
        <v>129</v>
      </c>
      <c r="P11" s="10" t="str">
        <f t="shared" ref="P11:P16" si="0">IF(N11&lt;=M11,"Pass","Fail")</f>
        <v>Pass</v>
      </c>
    </row>
    <row r="12" spans="1:16" x14ac:dyDescent="0.3">
      <c r="A12" s="3" t="s">
        <v>130</v>
      </c>
      <c r="B12" s="35">
        <v>1</v>
      </c>
      <c r="C12" s="35">
        <v>6</v>
      </c>
      <c r="D12" s="35">
        <v>4</v>
      </c>
      <c r="E12" s="35">
        <v>1</v>
      </c>
      <c r="F12" s="35">
        <v>1</v>
      </c>
      <c r="G12" s="35">
        <v>3</v>
      </c>
      <c r="H12" s="22">
        <v>0.7</v>
      </c>
      <c r="I12" s="22">
        <v>3.1</v>
      </c>
      <c r="J12" s="27">
        <v>1</v>
      </c>
      <c r="L12" s="3" t="s">
        <v>131</v>
      </c>
      <c r="M12" s="29">
        <v>18</v>
      </c>
      <c r="N12" s="35">
        <f>SUMPRODUCT(D11:D18,$J$11:$J$18)</f>
        <v>18</v>
      </c>
      <c r="O12" s="23" t="s">
        <v>129</v>
      </c>
      <c r="P12" s="10" t="str">
        <f t="shared" si="0"/>
        <v>Pass</v>
      </c>
    </row>
    <row r="13" spans="1:16" x14ac:dyDescent="0.3">
      <c r="A13" s="3" t="s">
        <v>132</v>
      </c>
      <c r="B13" s="35">
        <v>1</v>
      </c>
      <c r="C13" s="35">
        <v>3</v>
      </c>
      <c r="D13" s="35">
        <v>3</v>
      </c>
      <c r="E13" s="35">
        <v>2</v>
      </c>
      <c r="F13" s="35">
        <v>2</v>
      </c>
      <c r="G13" s="35">
        <v>3</v>
      </c>
      <c r="H13" s="22">
        <v>1.3</v>
      </c>
      <c r="I13" s="22">
        <v>0.9</v>
      </c>
      <c r="J13" s="27">
        <v>0</v>
      </c>
      <c r="L13" s="3" t="s">
        <v>133</v>
      </c>
      <c r="M13" s="29">
        <v>10</v>
      </c>
      <c r="N13" s="35">
        <f>SUMPRODUCT(E11:E18,$J$11:$J$18)</f>
        <v>7</v>
      </c>
      <c r="O13" s="23" t="s">
        <v>129</v>
      </c>
      <c r="P13" s="10" t="str">
        <f t="shared" si="0"/>
        <v>Pass</v>
      </c>
    </row>
    <row r="14" spans="1:16" x14ac:dyDescent="0.3">
      <c r="A14" s="3" t="s">
        <v>134</v>
      </c>
      <c r="B14" s="35">
        <v>2</v>
      </c>
      <c r="C14" s="35">
        <v>9</v>
      </c>
      <c r="D14" s="35">
        <v>2</v>
      </c>
      <c r="E14" s="35">
        <v>3</v>
      </c>
      <c r="F14" s="35">
        <v>1</v>
      </c>
      <c r="G14" s="35">
        <v>1</v>
      </c>
      <c r="H14" s="22">
        <v>1.2</v>
      </c>
      <c r="I14" s="22">
        <v>1.2</v>
      </c>
      <c r="J14" s="27">
        <v>0</v>
      </c>
      <c r="L14" s="3" t="s">
        <v>135</v>
      </c>
      <c r="M14" s="29">
        <v>8</v>
      </c>
      <c r="N14" s="35">
        <f>SUMPRODUCT(F11:F18,$J$11:$J$18)</f>
        <v>4</v>
      </c>
      <c r="O14" s="23" t="s">
        <v>129</v>
      </c>
      <c r="P14" s="10" t="str">
        <f t="shared" si="0"/>
        <v>Pass</v>
      </c>
    </row>
    <row r="15" spans="1:16" x14ac:dyDescent="0.3">
      <c r="A15" s="3" t="s">
        <v>136</v>
      </c>
      <c r="B15" s="35">
        <v>2</v>
      </c>
      <c r="C15" s="35">
        <v>2</v>
      </c>
      <c r="D15" s="35">
        <v>6</v>
      </c>
      <c r="E15" s="35">
        <v>2</v>
      </c>
      <c r="F15" s="35">
        <v>2</v>
      </c>
      <c r="G15" s="35">
        <v>2</v>
      </c>
      <c r="H15" s="22">
        <v>1.8</v>
      </c>
      <c r="I15" s="22">
        <v>0.75</v>
      </c>
      <c r="J15" s="27">
        <v>0</v>
      </c>
      <c r="L15" s="3" t="s">
        <v>137</v>
      </c>
      <c r="M15" s="29">
        <v>12</v>
      </c>
      <c r="N15" s="35">
        <f>SUMPRODUCT(G11:G18,$J$11:$J$18)</f>
        <v>11</v>
      </c>
      <c r="O15" s="23" t="s">
        <v>129</v>
      </c>
      <c r="P15" s="10" t="str">
        <f t="shared" si="0"/>
        <v>Pass</v>
      </c>
    </row>
    <row r="16" spans="1:16" x14ac:dyDescent="0.3">
      <c r="A16" s="3" t="s">
        <v>138</v>
      </c>
      <c r="B16" s="35">
        <v>2</v>
      </c>
      <c r="C16" s="35">
        <v>1</v>
      </c>
      <c r="D16" s="35">
        <v>3</v>
      </c>
      <c r="E16" s="35">
        <v>2</v>
      </c>
      <c r="F16" s="35">
        <v>1</v>
      </c>
      <c r="G16" s="35">
        <v>3</v>
      </c>
      <c r="H16" s="22">
        <v>2.2000000000000002</v>
      </c>
      <c r="I16" s="22">
        <v>1.3</v>
      </c>
      <c r="J16" s="27">
        <v>1</v>
      </c>
      <c r="L16" s="3" t="s">
        <v>139</v>
      </c>
      <c r="M16" s="24">
        <v>6</v>
      </c>
      <c r="N16" s="22">
        <f>SUMPRODUCT(H11:H18,$J$11:$J$18)</f>
        <v>5.8999999999999995</v>
      </c>
      <c r="O16" s="23" t="s">
        <v>129</v>
      </c>
      <c r="P16" s="10" t="str">
        <f t="shared" si="0"/>
        <v>Pass</v>
      </c>
    </row>
    <row r="17" spans="1:16" x14ac:dyDescent="0.3">
      <c r="A17" s="3" t="s">
        <v>140</v>
      </c>
      <c r="B17" s="35">
        <v>3</v>
      </c>
      <c r="C17" s="35">
        <v>3</v>
      </c>
      <c r="D17" s="35">
        <v>3</v>
      </c>
      <c r="E17" s="35">
        <v>1</v>
      </c>
      <c r="F17" s="35">
        <v>2</v>
      </c>
      <c r="G17" s="35">
        <v>1</v>
      </c>
      <c r="H17" s="22">
        <v>1.5</v>
      </c>
      <c r="I17" s="22">
        <v>1.9</v>
      </c>
      <c r="J17" s="27">
        <v>0</v>
      </c>
      <c r="L17" s="3" t="s">
        <v>141</v>
      </c>
      <c r="M17" s="29">
        <f>C7</f>
        <v>1</v>
      </c>
      <c r="N17" s="35">
        <f>SUMIF($B$11:$B$18,1,$J$11:$J$18)</f>
        <v>2</v>
      </c>
      <c r="O17" s="23" t="s">
        <v>142</v>
      </c>
      <c r="P17" s="10" t="str">
        <f>IF(N17&gt;=M17,"Pass","Fail")</f>
        <v>Pass</v>
      </c>
    </row>
    <row r="18" spans="1:16" x14ac:dyDescent="0.3">
      <c r="A18" s="3" t="s">
        <v>143</v>
      </c>
      <c r="B18" s="35">
        <v>3</v>
      </c>
      <c r="C18" s="35">
        <v>4</v>
      </c>
      <c r="D18" s="35">
        <v>5</v>
      </c>
      <c r="E18" s="35">
        <v>2</v>
      </c>
      <c r="F18" s="35">
        <v>1</v>
      </c>
      <c r="G18" s="35">
        <v>3</v>
      </c>
      <c r="H18" s="22">
        <v>1.8</v>
      </c>
      <c r="I18" s="22">
        <v>2.1</v>
      </c>
      <c r="J18" s="27">
        <v>1</v>
      </c>
      <c r="L18" s="3" t="s">
        <v>144</v>
      </c>
      <c r="M18" s="29">
        <f>C7</f>
        <v>1</v>
      </c>
      <c r="N18" s="35">
        <f>SUMIF($B$11:$B$18,2,$J$11:$J$18)</f>
        <v>1</v>
      </c>
      <c r="O18" s="23" t="s">
        <v>142</v>
      </c>
      <c r="P18" s="10" t="str">
        <f>IF(N18&gt;=M18,"Pass","Fail")</f>
        <v>Pass</v>
      </c>
    </row>
    <row r="19" spans="1:16" x14ac:dyDescent="0.3">
      <c r="L19" s="3" t="s">
        <v>145</v>
      </c>
      <c r="M19" s="29">
        <f>C7</f>
        <v>1</v>
      </c>
      <c r="N19" s="35">
        <f>SUMIF($B$11:$B$18,3,$J$11:$J$18)</f>
        <v>1</v>
      </c>
      <c r="O19" s="23" t="s">
        <v>142</v>
      </c>
      <c r="P19" s="10" t="str">
        <f>IF(N19&gt;=M19,"Pass","Fail")</f>
        <v>Pass</v>
      </c>
    </row>
    <row r="21" spans="1:16" x14ac:dyDescent="0.3">
      <c r="L21" s="5" t="s">
        <v>146</v>
      </c>
      <c r="M21" s="25">
        <f>SUMPRODUCT(I11:I18,$J$11:$J$18)</f>
        <v>8.7000000000000011</v>
      </c>
    </row>
    <row r="22" spans="1:16" x14ac:dyDescent="0.3">
      <c r="L22" s="5" t="s">
        <v>147</v>
      </c>
      <c r="M22" s="10" t="str">
        <f>IF(COUNTIF(P11:P19,"Fail")=0,"Feasible","Infeasible")</f>
        <v>Feasible</v>
      </c>
    </row>
    <row r="24" spans="1:16" x14ac:dyDescent="0.3">
      <c r="L24" s="43" t="s">
        <v>148</v>
      </c>
      <c r="M24" s="39"/>
      <c r="N24" s="39"/>
      <c r="O24" s="39"/>
      <c r="P24" s="39"/>
    </row>
    <row r="25" spans="1:16" x14ac:dyDescent="0.3">
      <c r="L25" s="39"/>
      <c r="M25" s="39"/>
      <c r="N25" s="39"/>
      <c r="O25" s="39"/>
      <c r="P25" s="39"/>
    </row>
  </sheetData>
  <mergeCells count="5">
    <mergeCell ref="B6:C6"/>
    <mergeCell ref="L6:P6"/>
    <mergeCell ref="A1:P2"/>
    <mergeCell ref="L24:P25"/>
    <mergeCell ref="A3:P3"/>
  </mergeCells>
  <dataValidations count="1">
    <dataValidation type="whole" sqref="J11:J18" xr:uid="{00000000-0002-0000-0700-000000000000}">
      <formula1>0</formula1>
      <formula2>1</formula2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bd84cd2-a803-4625-aaf7-424aaac7782e}" enabled="1" method="Standard" siteId="{8331b18d-2d87-48ef-a35f-ac8818ebf9b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TVM</vt:lpstr>
      <vt:lpstr>NPV_DCF</vt:lpstr>
      <vt:lpstr>IRR</vt:lpstr>
      <vt:lpstr>ROI</vt:lpstr>
      <vt:lpstr>Payback</vt:lpstr>
      <vt:lpstr>Breakeven</vt:lpstr>
      <vt:lpstr>WeightedScore</vt:lpstr>
      <vt:lpstr>PortfolioOpt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MEDEROS SANTOS, LAZNIER Maj USAF AFNORTH AFNORTH/A5X</dc:creator>
  <cp:lastModifiedBy>Laznier Mederos</cp:lastModifiedBy>
  <dcterms:created xsi:type="dcterms:W3CDTF">2026-03-27T15:53:57Z</dcterms:created>
  <dcterms:modified xsi:type="dcterms:W3CDTF">2026-04-05T20:05:34Z</dcterms:modified>
</cp:coreProperties>
</file>